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17_2018\ANNUAL BUDGET 2017-2018\Annexure\"/>
    </mc:Choice>
  </mc:AlternateContent>
  <bookViews>
    <workbookView xWindow="0" yWindow="0" windowWidth="20490" windowHeight="9045"/>
  </bookViews>
  <sheets>
    <sheet name="2017_2018" sheetId="5" r:id="rId1"/>
  </sheets>
  <calcPr calcId="152511"/>
</workbook>
</file>

<file path=xl/calcChain.xml><?xml version="1.0" encoding="utf-8"?>
<calcChain xmlns="http://schemas.openxmlformats.org/spreadsheetml/2006/main">
  <c r="M93" i="5" l="1"/>
  <c r="N93" i="5"/>
  <c r="M101" i="5"/>
  <c r="N95" i="5"/>
  <c r="N94" i="5"/>
  <c r="O96" i="5"/>
  <c r="N87" i="5"/>
  <c r="N88" i="5"/>
  <c r="M87" i="5"/>
  <c r="L81" i="5"/>
  <c r="F79" i="5"/>
  <c r="F81" i="5"/>
  <c r="L79" i="5"/>
  <c r="L77" i="5"/>
  <c r="L74" i="5"/>
  <c r="L71" i="5"/>
  <c r="F71" i="5"/>
  <c r="L69" i="5"/>
  <c r="L67" i="5"/>
  <c r="F67" i="5"/>
  <c r="L61" i="5"/>
  <c r="F64" i="5"/>
  <c r="F63" i="5"/>
  <c r="F62" i="5"/>
  <c r="F61" i="5"/>
  <c r="L58" i="5"/>
  <c r="L57" i="5"/>
  <c r="L56" i="5"/>
  <c r="L55" i="5"/>
  <c r="L48" i="5"/>
  <c r="L49" i="5"/>
  <c r="L51" i="5"/>
  <c r="L50" i="5"/>
  <c r="F51" i="5"/>
  <c r="F48" i="5"/>
  <c r="F80" i="5"/>
  <c r="F78" i="5"/>
  <c r="F77" i="5"/>
  <c r="F76" i="5"/>
  <c r="F75" i="5"/>
  <c r="F74" i="5"/>
  <c r="F73" i="5"/>
  <c r="F72" i="5"/>
  <c r="F70" i="5"/>
  <c r="F69" i="5"/>
  <c r="F68" i="5"/>
  <c r="F66" i="5"/>
  <c r="F65" i="5"/>
  <c r="F60" i="5"/>
  <c r="F59" i="5"/>
  <c r="F58" i="5"/>
  <c r="F57" i="5"/>
  <c r="F56" i="5"/>
  <c r="F55" i="5"/>
  <c r="F54" i="5"/>
  <c r="F53" i="5"/>
  <c r="F52" i="5"/>
  <c r="F50" i="5"/>
  <c r="F49" i="5"/>
  <c r="M88" i="5"/>
  <c r="M108" i="5"/>
  <c r="M95" i="5"/>
  <c r="M94" i="5"/>
  <c r="M112" i="5"/>
  <c r="M111" i="5"/>
  <c r="M110" i="5"/>
  <c r="M109" i="5"/>
  <c r="M107" i="5"/>
  <c r="M106" i="5"/>
  <c r="M105" i="5"/>
  <c r="M104" i="5"/>
  <c r="M103" i="5"/>
  <c r="M102" i="5"/>
  <c r="M14" i="5" l="1"/>
  <c r="M43" i="5"/>
  <c r="N43" i="5" s="1"/>
  <c r="M42" i="5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M17" i="5"/>
  <c r="N17" i="5" s="1"/>
  <c r="M16" i="5"/>
  <c r="N16" i="5" s="1"/>
  <c r="M15" i="5"/>
  <c r="N15" i="5" s="1"/>
  <c r="N14" i="5"/>
  <c r="M13" i="5"/>
  <c r="N13" i="5" s="1"/>
  <c r="M12" i="5"/>
  <c r="N12" i="5" s="1"/>
  <c r="M11" i="5"/>
  <c r="N11" i="5" s="1"/>
  <c r="M10" i="5"/>
  <c r="M9" i="5"/>
  <c r="N9" i="5"/>
  <c r="L43" i="5"/>
  <c r="N42" i="5"/>
  <c r="N34" i="5"/>
  <c r="N26" i="5"/>
  <c r="N18" i="5"/>
  <c r="N10" i="5"/>
  <c r="L9" i="5"/>
  <c r="O22" i="5" l="1"/>
  <c r="K79" i="5" l="1"/>
  <c r="K72" i="5"/>
  <c r="K71" i="5"/>
  <c r="K74" i="5" l="1"/>
  <c r="K81" i="5" l="1"/>
  <c r="K77" i="5"/>
  <c r="L101" i="5"/>
  <c r="L112" i="5"/>
  <c r="L111" i="5"/>
  <c r="L110" i="5"/>
  <c r="L109" i="5"/>
  <c r="L108" i="5"/>
  <c r="L107" i="5"/>
  <c r="L106" i="5"/>
  <c r="L105" i="5"/>
  <c r="L104" i="5"/>
  <c r="L103" i="5"/>
  <c r="L102" i="5"/>
  <c r="L95" i="5"/>
  <c r="L94" i="5"/>
  <c r="L93" i="5"/>
  <c r="K80" i="5"/>
  <c r="K78" i="5"/>
  <c r="K76" i="5"/>
  <c r="K75" i="5"/>
  <c r="K73" i="5"/>
  <c r="K70" i="5"/>
  <c r="K69" i="5"/>
  <c r="K68" i="5"/>
  <c r="K67" i="5"/>
  <c r="K64" i="5"/>
  <c r="K63" i="5"/>
  <c r="K58" i="5"/>
  <c r="K57" i="5"/>
  <c r="K55" i="5"/>
  <c r="K51" i="5"/>
  <c r="K50" i="5"/>
  <c r="K49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J74" i="5" l="1"/>
  <c r="K93" i="5" l="1"/>
  <c r="O89" i="5"/>
  <c r="L88" i="5"/>
  <c r="L87" i="5"/>
  <c r="L80" i="5"/>
  <c r="L78" i="5"/>
  <c r="L76" i="5"/>
  <c r="L75" i="5"/>
  <c r="L73" i="5"/>
  <c r="L72" i="5"/>
  <c r="L70" i="5"/>
  <c r="L68" i="5"/>
  <c r="L64" i="5"/>
  <c r="L63" i="5"/>
  <c r="L62" i="5"/>
  <c r="O10" i="5" l="1"/>
  <c r="K9" i="5"/>
  <c r="K43" i="5"/>
  <c r="K56" i="5"/>
  <c r="J49" i="5"/>
  <c r="K62" i="5"/>
  <c r="K61" i="5"/>
  <c r="K101" i="5"/>
  <c r="K87" i="5"/>
  <c r="J9" i="5"/>
  <c r="J72" i="5" l="1"/>
  <c r="J71" i="5"/>
  <c r="J79" i="5"/>
  <c r="J81" i="5"/>
  <c r="J77" i="5"/>
  <c r="J67" i="5" l="1"/>
  <c r="J69" i="5"/>
  <c r="J87" i="5" l="1"/>
  <c r="C29" i="5"/>
  <c r="J64" i="5"/>
  <c r="J63" i="5"/>
  <c r="J62" i="5"/>
  <c r="J61" i="5"/>
  <c r="J58" i="5"/>
  <c r="J57" i="5"/>
  <c r="J56" i="5"/>
  <c r="J55" i="5"/>
  <c r="J51" i="5"/>
  <c r="J50" i="5"/>
  <c r="K11" i="5" l="1"/>
  <c r="H112" i="5"/>
  <c r="I112" i="5" s="1"/>
  <c r="J112" i="5" s="1"/>
  <c r="K112" i="5" s="1"/>
  <c r="H111" i="5"/>
  <c r="I111" i="5" s="1"/>
  <c r="J111" i="5" s="1"/>
  <c r="K111" i="5" s="1"/>
  <c r="H108" i="5"/>
  <c r="I108" i="5" s="1"/>
  <c r="J108" i="5" s="1"/>
  <c r="K108" i="5" s="1"/>
  <c r="H107" i="5"/>
  <c r="H106" i="5"/>
  <c r="I106" i="5" s="1"/>
  <c r="J106" i="5" s="1"/>
  <c r="K106" i="5" s="1"/>
  <c r="H105" i="5"/>
  <c r="I105" i="5" s="1"/>
  <c r="J105" i="5" s="1"/>
  <c r="K105" i="5" s="1"/>
  <c r="H103" i="5"/>
  <c r="I103" i="5" s="1"/>
  <c r="J103" i="5" s="1"/>
  <c r="K103" i="5" s="1"/>
  <c r="H101" i="5"/>
  <c r="I101" i="5" s="1"/>
  <c r="J101" i="5" s="1"/>
  <c r="H95" i="5"/>
  <c r="I95" i="5" s="1"/>
  <c r="J95" i="5" s="1"/>
  <c r="K95" i="5" s="1"/>
  <c r="F95" i="5"/>
  <c r="H94" i="5"/>
  <c r="I94" i="5" s="1"/>
  <c r="J94" i="5" s="1"/>
  <c r="K94" i="5" s="1"/>
  <c r="F94" i="5"/>
  <c r="H93" i="5"/>
  <c r="I93" i="5" s="1"/>
  <c r="F93" i="5"/>
  <c r="H88" i="5"/>
  <c r="I88" i="5" s="1"/>
  <c r="J88" i="5" s="1"/>
  <c r="K88" i="5" s="1"/>
  <c r="H87" i="5"/>
  <c r="I81" i="5"/>
  <c r="G81" i="5"/>
  <c r="I80" i="5"/>
  <c r="G77" i="5"/>
  <c r="G74" i="5"/>
  <c r="G72" i="5"/>
  <c r="G71" i="5"/>
  <c r="G69" i="5"/>
  <c r="H69" i="5" s="1"/>
  <c r="G67" i="5"/>
  <c r="H67" i="5" s="1"/>
  <c r="L65" i="5"/>
  <c r="C59" i="5"/>
  <c r="G58" i="5"/>
  <c r="L59" i="5"/>
  <c r="G56" i="5"/>
  <c r="C52" i="5"/>
  <c r="H51" i="5"/>
  <c r="H50" i="5"/>
  <c r="H49" i="5"/>
  <c r="G48" i="5"/>
  <c r="H48" i="5" s="1"/>
  <c r="I48" i="5" s="1"/>
  <c r="J48" i="5" s="1"/>
  <c r="K48" i="5" s="1"/>
  <c r="J43" i="5"/>
  <c r="H43" i="5"/>
  <c r="F43" i="5"/>
  <c r="J42" i="5"/>
  <c r="K42" i="5" s="1"/>
  <c r="H42" i="5"/>
  <c r="F42" i="5"/>
  <c r="J41" i="5"/>
  <c r="K41" i="5" s="1"/>
  <c r="H41" i="5"/>
  <c r="J40" i="5"/>
  <c r="K40" i="5" s="1"/>
  <c r="H40" i="5"/>
  <c r="F40" i="5"/>
  <c r="J37" i="5"/>
  <c r="K37" i="5" s="1"/>
  <c r="H37" i="5"/>
  <c r="F37" i="5"/>
  <c r="J36" i="5"/>
  <c r="K36" i="5" s="1"/>
  <c r="H36" i="5"/>
  <c r="F36" i="5"/>
  <c r="J35" i="5"/>
  <c r="K35" i="5" s="1"/>
  <c r="H35" i="5"/>
  <c r="F35" i="5"/>
  <c r="J34" i="5"/>
  <c r="K34" i="5" s="1"/>
  <c r="H34" i="5"/>
  <c r="F34" i="5"/>
  <c r="J33" i="5"/>
  <c r="K33" i="5" s="1"/>
  <c r="H33" i="5"/>
  <c r="F33" i="5"/>
  <c r="J30" i="5"/>
  <c r="K30" i="5" s="1"/>
  <c r="H30" i="5"/>
  <c r="F30" i="5"/>
  <c r="H28" i="5"/>
  <c r="I28" i="5" s="1"/>
  <c r="J28" i="5" s="1"/>
  <c r="K28" i="5" s="1"/>
  <c r="F28" i="5"/>
  <c r="H27" i="5"/>
  <c r="I27" i="5" s="1"/>
  <c r="J27" i="5" s="1"/>
  <c r="K27" i="5" s="1"/>
  <c r="F27" i="5"/>
  <c r="H26" i="5"/>
  <c r="I26" i="5" s="1"/>
  <c r="J26" i="5" s="1"/>
  <c r="K26" i="5" s="1"/>
  <c r="F26" i="5"/>
  <c r="J25" i="5"/>
  <c r="K25" i="5" s="1"/>
  <c r="H25" i="5"/>
  <c r="F25" i="5"/>
  <c r="F24" i="5"/>
  <c r="G24" i="5" s="1"/>
  <c r="H24" i="5" s="1"/>
  <c r="H22" i="5"/>
  <c r="I22" i="5" s="1"/>
  <c r="J22" i="5" s="1"/>
  <c r="K22" i="5" s="1"/>
  <c r="H21" i="5"/>
  <c r="I21" i="5" s="1"/>
  <c r="J21" i="5" s="1"/>
  <c r="K21" i="5" s="1"/>
  <c r="J20" i="5"/>
  <c r="K20" i="5" s="1"/>
  <c r="H20" i="5"/>
  <c r="H18" i="5"/>
  <c r="I18" i="5" s="1"/>
  <c r="J18" i="5" s="1"/>
  <c r="K18" i="5" s="1"/>
  <c r="H17" i="5"/>
  <c r="I17" i="5" s="1"/>
  <c r="J17" i="5" s="1"/>
  <c r="K17" i="5" s="1"/>
  <c r="H16" i="5"/>
  <c r="I16" i="5" s="1"/>
  <c r="J16" i="5" s="1"/>
  <c r="K16" i="5" s="1"/>
  <c r="J15" i="5"/>
  <c r="K15" i="5" s="1"/>
  <c r="H15" i="5"/>
  <c r="H13" i="5"/>
  <c r="I13" i="5" s="1"/>
  <c r="J13" i="5" s="1"/>
  <c r="K13" i="5" s="1"/>
  <c r="F13" i="5"/>
  <c r="H12" i="5"/>
  <c r="I12" i="5" s="1"/>
  <c r="F12" i="5"/>
  <c r="H10" i="5"/>
  <c r="I10" i="5" s="1"/>
  <c r="F10" i="5"/>
  <c r="H9" i="5"/>
  <c r="F9" i="5"/>
  <c r="J12" i="5" l="1"/>
  <c r="K12" i="5" s="1"/>
  <c r="J93" i="5"/>
  <c r="J10" i="5"/>
  <c r="K10" i="5" s="1"/>
  <c r="L52" i="5"/>
  <c r="L82" i="5" s="1"/>
  <c r="O37" i="5"/>
  <c r="O43" i="5"/>
  <c r="O30" i="5"/>
  <c r="O44" i="5" l="1"/>
  <c r="O98" i="5" s="1"/>
  <c r="O99" i="5" s="1"/>
</calcChain>
</file>

<file path=xl/sharedStrings.xml><?xml version="1.0" encoding="utf-8"?>
<sst xmlns="http://schemas.openxmlformats.org/spreadsheetml/2006/main" count="158" uniqueCount="99">
  <si>
    <t>BASIC CHARGES</t>
  </si>
  <si>
    <t>CATEGORY</t>
  </si>
  <si>
    <t>PHASE</t>
  </si>
  <si>
    <t>CONSUMERS</t>
  </si>
  <si>
    <t>ANNUAL INCOME</t>
  </si>
  <si>
    <t>TOTAL INCOME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</si>
  <si>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</si>
  <si>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</si>
  <si>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</si>
  <si>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</si>
  <si>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</si>
  <si>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</si>
  <si>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</si>
  <si>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</si>
  <si>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TOTAL</t>
  </si>
  <si>
    <t>CONSUMPTION</t>
  </si>
  <si>
    <t>UNITS</t>
  </si>
  <si>
    <t>AGRICULTURAL BULK</t>
  </si>
  <si>
    <t>MAXIMUM DEMAND</t>
  </si>
  <si>
    <t>DEMAND CHARGE</t>
  </si>
  <si>
    <t>AGRIC ABOVE 150AMP(100kVA)</t>
  </si>
  <si>
    <t>VACANT STANDS</t>
  </si>
  <si>
    <t>BASIC CHARGE</t>
  </si>
  <si>
    <t>RESIDENTIAL</t>
  </si>
  <si>
    <t>Vat inclusive</t>
  </si>
  <si>
    <t>RECONNECTION AFTER NON PAYMENT</t>
  </si>
  <si>
    <t>CONNECTION FEE</t>
  </si>
  <si>
    <t>TEST OF METERS</t>
  </si>
  <si>
    <t>NEW CONNECTIONS</t>
  </si>
  <si>
    <t>(including ext 6)</t>
  </si>
  <si>
    <t xml:space="preserve">TEMP CONNECTIONS </t>
  </si>
  <si>
    <t>AMPS (kVA)</t>
  </si>
  <si>
    <t>PROPOSED ELECTRICITY TARIFFS FOR Ephraim Mogale</t>
  </si>
  <si>
    <t>2010/2011
TARIFFS</t>
  </si>
  <si>
    <t>ABOVE 150AMP(kVA)</t>
  </si>
  <si>
    <t>2011/2012 TARIFFS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</si>
  <si>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</si>
  <si>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</si>
  <si>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</si>
  <si>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</si>
  <si>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</si>
  <si>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</si>
  <si>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</si>
  <si>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</si>
  <si>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</si>
  <si>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</si>
  <si>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</si>
  <si>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</si>
  <si>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</si>
  <si>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</si>
  <si>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(2000kWh)</t>
  </si>
  <si>
    <t>(43800kWh)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</si>
  <si>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</si>
  <si>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</si>
  <si>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</si>
  <si>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</si>
  <si>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</si>
  <si>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</si>
  <si>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</si>
  <si>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</si>
  <si>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</si>
  <si>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</si>
  <si>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</si>
  <si>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2012/2013 TARIFFS</t>
  </si>
  <si>
    <t>2013/2014 TARIFFS</t>
  </si>
  <si>
    <t>7.39 % Guide</t>
  </si>
  <si>
    <t>OLD TARIFF 2012/2013</t>
  </si>
  <si>
    <t>OLD TARIFF 2013/2014</t>
  </si>
  <si>
    <t>OLD 2011/2012</t>
  </si>
  <si>
    <t>OLD 2013/2014</t>
  </si>
  <si>
    <t>OLD 2012/2013</t>
  </si>
  <si>
    <t>OLD  2011/2012</t>
  </si>
  <si>
    <t>OLD TARIFF 2011/2012</t>
  </si>
  <si>
    <t>12.20 % Guide</t>
  </si>
  <si>
    <t>OLD TARIFF 2014-2015</t>
  </si>
  <si>
    <t>OLD 2014-2015</t>
  </si>
  <si>
    <t>OLD 2014/2015 TARIFFS</t>
  </si>
  <si>
    <t>Homes/Charitable</t>
  </si>
  <si>
    <t xml:space="preserve">EPHRAIM MOGALE LOCAL MUNICIPALITY  </t>
  </si>
  <si>
    <t>Approved 2015-2016</t>
  </si>
  <si>
    <t>Proposed 2016-2017</t>
  </si>
  <si>
    <t>Estimated income</t>
  </si>
  <si>
    <t>Estimated Income</t>
  </si>
  <si>
    <t>Total estimated income</t>
  </si>
  <si>
    <t>PROPOSED TARIFF 2016-2017</t>
  </si>
  <si>
    <t>APPROVED 2015/2016 Tariffs</t>
  </si>
  <si>
    <t xml:space="preserve">APPROVED </t>
  </si>
  <si>
    <t>Basic Charges</t>
  </si>
  <si>
    <t xml:space="preserve"> TARIFF 2015-2016</t>
  </si>
  <si>
    <t>Tariff 2015-2016</t>
  </si>
  <si>
    <t>7.64 guide</t>
  </si>
  <si>
    <t>Approved 2016/2017 Tariffs</t>
  </si>
  <si>
    <t>Proposed 2017-2018 Tariffs</t>
  </si>
  <si>
    <t>2016/2017 TARIFFS</t>
  </si>
  <si>
    <t>PROPOSED 2017/2018</t>
  </si>
  <si>
    <t>PROPOSED TARIFF 2017-2018</t>
  </si>
  <si>
    <t>Proposed 2017-2018</t>
  </si>
  <si>
    <t>1.88% guide increase</t>
  </si>
  <si>
    <t>APPROVED  ELECTRICITY TARIFFS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</si>
</sst>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&quot;R&quot;\ * #,##0_ ;_ &quot;R&quot;\ * \-#,##0_ ;_ &quot;R&quot;\ * &quot;-&quot;_ ;_ @_ 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#,##0.0000"/>
    <numFmt numFmtId="168" formatCode="0.0000"/>
    <numFmt numFmtId="169" formatCode="&quot;R&quot;\ #,##0.00"/>
    <numFmt numFmtId="170" formatCode="#,##0_ ;\-#,##0\ "/>
    <numFmt numFmtId="171" formatCode="#,##0.00000000000000"/>
    <numFmt numFmtId="172" formatCode="#,##0.000000"/>
    <numFmt numFmtId="173" formatCode="&quot;R&quot;\ #,##0"/>
  </numFmts>
  <fonts count="17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</cellStyleXfs>
  <cellXfs count="257">
    <xf numFmtId="0" fontId="0" fillId="0" borderId="0" xfId="0"/>
    <xf numFmtId="0" fontId="4" fillId="0" borderId="0" xfId="0" applyFont="1"/>
    <xf numFmtId="0" fontId="6" fillId="0" borderId="0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2" fontId="6" fillId="0" borderId="0" xfId="0" applyNumberFormat="1" applyFont="1" applyFill="1" applyBorder="1" applyAlignment="1"/>
    <xf numFmtId="0" fontId="10" fillId="0" borderId="0" xfId="0" applyFont="1"/>
    <xf numFmtId="0" fontId="15" fillId="0" borderId="0" xfId="0" applyFont="1" applyFill="1" applyBorder="1"/>
    <xf numFmtId="167" fontId="7" fillId="0" borderId="0" xfId="0" applyNumberFormat="1" applyFont="1" applyFill="1"/>
    <xf numFmtId="167" fontId="5" fillId="0" borderId="0" xfId="0" applyNumberFormat="1" applyFont="1" applyFill="1"/>
    <xf numFmtId="0" fontId="6" fillId="0" borderId="8" xfId="0" applyFont="1" applyFill="1" applyBorder="1" applyAlignment="1">
      <alignment horizontal="center" wrapText="1"/>
    </xf>
    <xf numFmtId="0" fontId="6" fillId="0" borderId="24" xfId="0" applyNumberFormat="1" applyFont="1" applyFill="1" applyBorder="1" applyAlignment="1">
      <alignment horizontal="center" wrapText="1"/>
    </xf>
    <xf numFmtId="167" fontId="6" fillId="0" borderId="2" xfId="0" applyNumberFormat="1" applyFont="1" applyFill="1" applyBorder="1" applyAlignment="1">
      <alignment wrapText="1"/>
    </xf>
    <xf numFmtId="169" fontId="7" fillId="0" borderId="4" xfId="0" applyNumberFormat="1" applyFont="1" applyFill="1" applyBorder="1" applyAlignment="1">
      <alignment horizontal="right"/>
    </xf>
    <xf numFmtId="169" fontId="7" fillId="0" borderId="39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2" fontId="7" fillId="0" borderId="0" xfId="0" applyNumberFormat="1" applyFont="1" applyFill="1"/>
    <xf numFmtId="2" fontId="6" fillId="0" borderId="18" xfId="0" applyNumberFormat="1" applyFont="1" applyFill="1" applyBorder="1" applyAlignment="1"/>
    <xf numFmtId="2" fontId="6" fillId="0" borderId="38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/>
    <xf numFmtId="2" fontId="6" fillId="0" borderId="8" xfId="0" applyNumberFormat="1" applyFont="1" applyFill="1" applyBorder="1" applyAlignment="1">
      <alignment wrapText="1"/>
    </xf>
    <xf numFmtId="165" fontId="7" fillId="0" borderId="24" xfId="0" applyNumberFormat="1" applyFont="1" applyFill="1" applyBorder="1" applyAlignment="1">
      <alignment horizontal="right"/>
    </xf>
    <xf numFmtId="165" fontId="7" fillId="0" borderId="18" xfId="0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2" fontId="6" fillId="0" borderId="0" xfId="0" applyNumberFormat="1" applyFont="1" applyFill="1" applyBorder="1" applyAlignment="1">
      <alignment horizontal="center"/>
    </xf>
    <xf numFmtId="165" fontId="7" fillId="0" borderId="31" xfId="0" applyNumberFormat="1" applyFont="1" applyFill="1" applyBorder="1" applyAlignment="1">
      <alignment horizontal="right"/>
    </xf>
    <xf numFmtId="2" fontId="6" fillId="0" borderId="18" xfId="0" applyNumberFormat="1" applyFont="1" applyFill="1" applyBorder="1" applyAlignment="1">
      <alignment wrapText="1"/>
    </xf>
    <xf numFmtId="0" fontId="7" fillId="0" borderId="0" xfId="0" applyFont="1" applyFill="1"/>
    <xf numFmtId="0" fontId="0" fillId="0" borderId="0" xfId="0" applyFill="1"/>
    <xf numFmtId="0" fontId="6" fillId="0" borderId="18" xfId="0" applyFont="1" applyFill="1" applyBorder="1" applyAlignment="1">
      <alignment horizontal="center" wrapText="1"/>
    </xf>
    <xf numFmtId="0" fontId="12" fillId="0" borderId="39" xfId="0" applyNumberFormat="1" applyFont="1" applyFill="1" applyBorder="1" applyAlignment="1">
      <alignment horizontal="center" wrapText="1"/>
    </xf>
    <xf numFmtId="2" fontId="5" fillId="0" borderId="48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7" fillId="0" borderId="39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171" fontId="0" fillId="0" borderId="0" xfId="0" applyNumberFormat="1"/>
    <xf numFmtId="172" fontId="0" fillId="0" borderId="0" xfId="0" applyNumberFormat="1"/>
    <xf numFmtId="167" fontId="0" fillId="0" borderId="0" xfId="0" applyNumberFormat="1"/>
    <xf numFmtId="166" fontId="11" fillId="0" borderId="40" xfId="1" applyFont="1" applyFill="1" applyBorder="1"/>
    <xf numFmtId="0" fontId="0" fillId="0" borderId="40" xfId="0" applyFill="1" applyBorder="1"/>
    <xf numFmtId="0" fontId="0" fillId="0" borderId="40" xfId="0" applyNumberFormat="1" applyFill="1" applyBorder="1"/>
    <xf numFmtId="165" fontId="7" fillId="0" borderId="2" xfId="0" applyNumberFormat="1" applyFont="1" applyFill="1" applyBorder="1" applyAlignment="1">
      <alignment horizontal="right"/>
    </xf>
    <xf numFmtId="2" fontId="7" fillId="0" borderId="39" xfId="0" applyNumberFormat="1" applyFont="1" applyFill="1" applyBorder="1" applyAlignment="1">
      <alignment horizontal="right"/>
    </xf>
    <xf numFmtId="2" fontId="6" fillId="0" borderId="37" xfId="0" applyNumberFormat="1" applyFont="1" applyFill="1" applyBorder="1" applyAlignment="1">
      <alignment wrapText="1"/>
    </xf>
    <xf numFmtId="0" fontId="4" fillId="0" borderId="0" xfId="0" applyFont="1" applyFill="1"/>
    <xf numFmtId="3" fontId="6" fillId="0" borderId="18" xfId="0" applyNumberFormat="1" applyFont="1" applyFill="1" applyBorder="1" applyAlignment="1">
      <alignment horizontal="center" wrapText="1"/>
    </xf>
    <xf numFmtId="169" fontId="7" fillId="0" borderId="22" xfId="0" applyNumberFormat="1" applyFont="1" applyFill="1" applyBorder="1" applyAlignment="1">
      <alignment wrapText="1"/>
    </xf>
    <xf numFmtId="169" fontId="7" fillId="0" borderId="22" xfId="0" applyNumberFormat="1" applyFont="1" applyFill="1" applyBorder="1"/>
    <xf numFmtId="169" fontId="6" fillId="0" borderId="22" xfId="0" applyNumberFormat="1" applyFont="1" applyFill="1" applyBorder="1"/>
    <xf numFmtId="169" fontId="6" fillId="0" borderId="22" xfId="0" applyNumberFormat="1" applyFont="1" applyFill="1" applyBorder="1" applyAlignment="1">
      <alignment horizontal="right"/>
    </xf>
    <xf numFmtId="169" fontId="6" fillId="0" borderId="23" xfId="0" applyNumberFormat="1" applyFont="1" applyFill="1" applyBorder="1"/>
    <xf numFmtId="9" fontId="0" fillId="0" borderId="0" xfId="0" applyNumberFormat="1" applyFill="1"/>
    <xf numFmtId="0" fontId="5" fillId="0" borderId="0" xfId="0" applyFont="1" applyFill="1"/>
    <xf numFmtId="10" fontId="0" fillId="0" borderId="0" xfId="0" applyNumberFormat="1" applyFill="1"/>
    <xf numFmtId="2" fontId="6" fillId="0" borderId="0" xfId="0" applyNumberFormat="1" applyFont="1" applyFill="1" applyBorder="1"/>
    <xf numFmtId="9" fontId="6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6" fillId="0" borderId="0" xfId="0" applyNumberFormat="1" applyFont="1" applyFill="1" applyAlignment="1">
      <alignment wrapText="1"/>
    </xf>
    <xf numFmtId="0" fontId="6" fillId="0" borderId="7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wrapText="1"/>
    </xf>
    <xf numFmtId="0" fontId="6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7" fillId="0" borderId="12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1" fontId="6" fillId="0" borderId="5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169" fontId="7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2" fontId="7" fillId="0" borderId="1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center"/>
    </xf>
    <xf numFmtId="2" fontId="7" fillId="0" borderId="13" xfId="0" applyNumberFormat="1" applyFont="1" applyFill="1" applyBorder="1"/>
    <xf numFmtId="2" fontId="7" fillId="0" borderId="14" xfId="0" applyNumberFormat="1" applyFont="1" applyFill="1" applyBorder="1"/>
    <xf numFmtId="169" fontId="7" fillId="0" borderId="15" xfId="0" applyNumberFormat="1" applyFont="1" applyFill="1" applyBorder="1" applyAlignment="1">
      <alignment horizontal="right"/>
    </xf>
    <xf numFmtId="169" fontId="7" fillId="0" borderId="16" xfId="0" applyNumberFormat="1" applyFont="1" applyFill="1" applyBorder="1" applyAlignment="1">
      <alignment horizontal="right"/>
    </xf>
    <xf numFmtId="0" fontId="8" fillId="0" borderId="7" xfId="0" applyFont="1" applyFill="1" applyBorder="1"/>
    <xf numFmtId="2" fontId="6" fillId="0" borderId="9" xfId="0" applyNumberFormat="1" applyFont="1" applyFill="1" applyBorder="1" applyAlignment="1">
      <alignment wrapText="1"/>
    </xf>
    <xf numFmtId="2" fontId="6" fillId="0" borderId="19" xfId="0" applyNumberFormat="1" applyFont="1" applyFill="1" applyBorder="1" applyAlignment="1"/>
    <xf numFmtId="2" fontId="6" fillId="0" borderId="9" xfId="0" applyNumberFormat="1" applyFont="1" applyFill="1" applyBorder="1"/>
    <xf numFmtId="0" fontId="6" fillId="0" borderId="9" xfId="0" applyFont="1" applyFill="1" applyBorder="1" applyAlignment="1">
      <alignment wrapText="1"/>
    </xf>
    <xf numFmtId="2" fontId="6" fillId="0" borderId="25" xfId="0" applyNumberFormat="1" applyFont="1" applyFill="1" applyBorder="1" applyAlignment="1">
      <alignment horizontal="center" wrapText="1"/>
    </xf>
    <xf numFmtId="0" fontId="8" fillId="0" borderId="5" xfId="0" applyFont="1" applyFill="1" applyBorder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2" fontId="6" fillId="0" borderId="4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7" fillId="0" borderId="41" xfId="0" applyFont="1" applyFill="1" applyBorder="1"/>
    <xf numFmtId="1" fontId="7" fillId="0" borderId="39" xfId="0" applyNumberFormat="1" applyFont="1" applyFill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2" fontId="7" fillId="0" borderId="39" xfId="0" applyNumberFormat="1" applyFont="1" applyFill="1" applyBorder="1"/>
    <xf numFmtId="2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42" xfId="0" applyFont="1" applyFill="1" applyBorder="1"/>
    <xf numFmtId="170" fontId="7" fillId="0" borderId="40" xfId="0" applyNumberFormat="1" applyFont="1" applyFill="1" applyBorder="1" applyAlignment="1">
      <alignment horizontal="center"/>
    </xf>
    <xf numFmtId="2" fontId="7" fillId="0" borderId="2" xfId="0" applyNumberFormat="1" applyFont="1" applyFill="1" applyBorder="1"/>
    <xf numFmtId="2" fontId="7" fillId="0" borderId="40" xfId="0" applyNumberFormat="1" applyFont="1" applyFill="1" applyBorder="1" applyAlignment="1" applyProtection="1">
      <alignment horizontal="right"/>
      <protection locked="0"/>
    </xf>
    <xf numFmtId="0" fontId="8" fillId="0" borderId="42" xfId="0" applyFont="1" applyFill="1" applyBorder="1"/>
    <xf numFmtId="1" fontId="7" fillId="0" borderId="2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right"/>
    </xf>
    <xf numFmtId="2" fontId="5" fillId="0" borderId="40" xfId="3" applyNumberFormat="1" applyFont="1" applyFill="1" applyBorder="1" applyAlignment="1" applyProtection="1">
      <alignment horizontal="right"/>
      <protection locked="0"/>
    </xf>
    <xf numFmtId="2" fontId="7" fillId="0" borderId="31" xfId="0" applyNumberFormat="1" applyFont="1" applyFill="1" applyBorder="1"/>
    <xf numFmtId="0" fontId="8" fillId="0" borderId="46" xfId="0" applyFont="1" applyFill="1" applyBorder="1"/>
    <xf numFmtId="0" fontId="0" fillId="0" borderId="31" xfId="0" applyFill="1" applyBorder="1"/>
    <xf numFmtId="0" fontId="0" fillId="0" borderId="47" xfId="0" applyFill="1" applyBorder="1"/>
    <xf numFmtId="1" fontId="7" fillId="0" borderId="43" xfId="0" applyNumberFormat="1" applyFont="1" applyFill="1" applyBorder="1" applyAlignment="1">
      <alignment horizontal="center"/>
    </xf>
    <xf numFmtId="170" fontId="7" fillId="0" borderId="36" xfId="0" applyNumberFormat="1" applyFont="1" applyFill="1" applyBorder="1" applyAlignment="1">
      <alignment horizontal="center"/>
    </xf>
    <xf numFmtId="2" fontId="7" fillId="0" borderId="43" xfId="0" applyNumberFormat="1" applyFont="1" applyFill="1" applyBorder="1"/>
    <xf numFmtId="169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8" fontId="7" fillId="0" borderId="0" xfId="0" applyNumberFormat="1" applyFont="1" applyFill="1" applyBorder="1"/>
    <xf numFmtId="2" fontId="7" fillId="0" borderId="19" xfId="0" applyNumberFormat="1" applyFont="1" applyFill="1" applyBorder="1"/>
    <xf numFmtId="2" fontId="6" fillId="0" borderId="19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2" fontId="6" fillId="0" borderId="37" xfId="0" applyNumberFormat="1" applyFont="1" applyFill="1" applyBorder="1"/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2" fontId="7" fillId="0" borderId="6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2" fontId="7" fillId="0" borderId="20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horizontal="right"/>
    </xf>
    <xf numFmtId="165" fontId="7" fillId="0" borderId="37" xfId="0" applyNumberFormat="1" applyFont="1" applyFill="1" applyBorder="1" applyAlignment="1">
      <alignment horizontal="right"/>
    </xf>
    <xf numFmtId="2" fontId="6" fillId="0" borderId="7" xfId="0" applyNumberFormat="1" applyFont="1" applyFill="1" applyBorder="1"/>
    <xf numFmtId="2" fontId="6" fillId="0" borderId="9" xfId="0" applyNumberFormat="1" applyFont="1" applyFill="1" applyBorder="1" applyAlignment="1">
      <alignment horizontal="center"/>
    </xf>
    <xf numFmtId="2" fontId="7" fillId="0" borderId="5" xfId="0" applyNumberFormat="1" applyFont="1" applyFill="1" applyBorder="1"/>
    <xf numFmtId="165" fontId="7" fillId="0" borderId="16" xfId="0" applyNumberFormat="1" applyFont="1" applyFill="1" applyBorder="1" applyAlignment="1">
      <alignment horizontal="right"/>
    </xf>
    <xf numFmtId="0" fontId="9" fillId="0" borderId="0" xfId="0" applyFont="1" applyFill="1"/>
    <xf numFmtId="2" fontId="9" fillId="0" borderId="0" xfId="0" applyNumberFormat="1" applyFont="1" applyFill="1"/>
    <xf numFmtId="2" fontId="6" fillId="0" borderId="32" xfId="0" applyNumberFormat="1" applyFont="1" applyFill="1" applyBorder="1" applyAlignment="1">
      <alignment horizontal="center"/>
    </xf>
    <xf numFmtId="2" fontId="6" fillId="0" borderId="24" xfId="0" applyNumberFormat="1" applyFont="1" applyFill="1" applyBorder="1"/>
    <xf numFmtId="2" fontId="7" fillId="0" borderId="21" xfId="0" applyNumberFormat="1" applyFont="1" applyFill="1" applyBorder="1" applyAlignment="1">
      <alignment horizontal="right"/>
    </xf>
    <xf numFmtId="2" fontId="7" fillId="0" borderId="24" xfId="0" applyNumberFormat="1" applyFont="1" applyFill="1" applyBorder="1" applyAlignment="1">
      <alignment horizontal="right"/>
    </xf>
    <xf numFmtId="2" fontId="7" fillId="0" borderId="33" xfId="0" applyNumberFormat="1" applyFont="1" applyFill="1" applyBorder="1" applyAlignment="1">
      <alignment horizontal="right"/>
    </xf>
    <xf numFmtId="2" fontId="7" fillId="0" borderId="35" xfId="0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center"/>
    </xf>
    <xf numFmtId="1" fontId="7" fillId="0" borderId="21" xfId="0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0" borderId="34" xfId="0" applyNumberFormat="1" applyFont="1" applyFill="1" applyBorder="1" applyAlignment="1">
      <alignment horizontal="right"/>
    </xf>
    <xf numFmtId="2" fontId="7" fillId="0" borderId="36" xfId="0" applyNumberFormat="1" applyFont="1" applyFill="1" applyBorder="1" applyAlignment="1">
      <alignment horizontal="right"/>
    </xf>
    <xf numFmtId="167" fontId="5" fillId="3" borderId="0" xfId="0" applyNumberFormat="1" applyFont="1" applyFill="1"/>
    <xf numFmtId="0" fontId="4" fillId="0" borderId="0" xfId="0" applyNumberFormat="1" applyFont="1" applyFill="1"/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6" fillId="0" borderId="18" xfId="0" applyNumberFormat="1" applyFont="1" applyFill="1" applyBorder="1" applyAlignment="1">
      <alignment horizontal="center" wrapText="1"/>
    </xf>
    <xf numFmtId="0" fontId="7" fillId="0" borderId="17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7" fillId="0" borderId="44" xfId="0" applyNumberFormat="1" applyFont="1" applyFill="1" applyBorder="1"/>
    <xf numFmtId="0" fontId="6" fillId="0" borderId="38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0" fontId="5" fillId="0" borderId="0" xfId="0" applyNumberFormat="1" applyFont="1" applyFill="1"/>
    <xf numFmtId="0" fontId="0" fillId="0" borderId="0" xfId="0" applyNumberFormat="1" applyFill="1"/>
    <xf numFmtId="0" fontId="6" fillId="0" borderId="27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2" fillId="0" borderId="18" xfId="0" applyFont="1" applyFill="1" applyBorder="1" applyAlignment="1">
      <alignment horizontal="center" wrapText="1"/>
    </xf>
    <xf numFmtId="169" fontId="12" fillId="0" borderId="4" xfId="0" applyNumberFormat="1" applyFont="1" applyFill="1" applyBorder="1" applyAlignment="1">
      <alignment horizontal="right"/>
    </xf>
    <xf numFmtId="169" fontId="12" fillId="0" borderId="39" xfId="0" applyNumberFormat="1" applyFont="1" applyFill="1" applyBorder="1" applyAlignment="1">
      <alignment horizontal="right"/>
    </xf>
    <xf numFmtId="165" fontId="6" fillId="0" borderId="24" xfId="0" applyNumberFormat="1" applyFont="1" applyFill="1" applyBorder="1" applyAlignment="1">
      <alignment horizontal="right"/>
    </xf>
    <xf numFmtId="165" fontId="6" fillId="0" borderId="18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31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2" fontId="6" fillId="0" borderId="39" xfId="0" applyNumberFormat="1" applyFont="1" applyFill="1" applyBorder="1" applyAlignment="1">
      <alignment horizontal="right"/>
    </xf>
    <xf numFmtId="169" fontId="7" fillId="0" borderId="17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wrapText="1"/>
    </xf>
    <xf numFmtId="0" fontId="10" fillId="0" borderId="21" xfId="0" applyFont="1" applyFill="1" applyBorder="1"/>
    <xf numFmtId="43" fontId="10" fillId="0" borderId="53" xfId="0" applyNumberFormat="1" applyFont="1" applyFill="1" applyBorder="1"/>
    <xf numFmtId="2" fontId="10" fillId="0" borderId="53" xfId="0" applyNumberFormat="1" applyFont="1" applyFill="1" applyBorder="1" applyAlignment="1">
      <alignment horizontal="center"/>
    </xf>
    <xf numFmtId="43" fontId="10" fillId="0" borderId="34" xfId="0" applyNumberFormat="1" applyFont="1" applyFill="1" applyBorder="1"/>
    <xf numFmtId="2" fontId="5" fillId="0" borderId="2" xfId="0" applyNumberFormat="1" applyFont="1" applyFill="1" applyBorder="1"/>
    <xf numFmtId="0" fontId="10" fillId="0" borderId="53" xfId="0" applyFont="1" applyFill="1" applyBorder="1" applyAlignment="1">
      <alignment horizontal="center"/>
    </xf>
    <xf numFmtId="0" fontId="10" fillId="0" borderId="53" xfId="0" applyFont="1" applyFill="1" applyBorder="1"/>
    <xf numFmtId="166" fontId="7" fillId="0" borderId="2" xfId="1" applyFont="1" applyFill="1" applyBorder="1"/>
    <xf numFmtId="1" fontId="7" fillId="2" borderId="2" xfId="0" applyNumberFormat="1" applyFont="1" applyFill="1" applyBorder="1" applyAlignment="1">
      <alignment horizontal="center"/>
    </xf>
    <xf numFmtId="170" fontId="7" fillId="2" borderId="40" xfId="0" applyNumberFormat="1" applyFont="1" applyFill="1" applyBorder="1" applyAlignment="1">
      <alignment horizontal="center"/>
    </xf>
    <xf numFmtId="166" fontId="7" fillId="2" borderId="2" xfId="1" applyFont="1" applyFill="1" applyBorder="1"/>
    <xf numFmtId="1" fontId="7" fillId="2" borderId="31" xfId="0" applyNumberFormat="1" applyFont="1" applyFill="1" applyBorder="1" applyAlignment="1">
      <alignment horizontal="center"/>
    </xf>
    <xf numFmtId="170" fontId="7" fillId="2" borderId="3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wrapText="1"/>
    </xf>
    <xf numFmtId="167" fontId="12" fillId="2" borderId="2" xfId="0" applyNumberFormat="1" applyFont="1" applyFill="1" applyBorder="1" applyAlignment="1">
      <alignment wrapText="1"/>
    </xf>
    <xf numFmtId="169" fontId="12" fillId="2" borderId="4" xfId="0" applyNumberFormat="1" applyFont="1" applyFill="1" applyBorder="1" applyAlignment="1">
      <alignment horizontal="right"/>
    </xf>
    <xf numFmtId="0" fontId="6" fillId="2" borderId="18" xfId="0" applyFont="1" applyFill="1" applyBorder="1" applyAlignment="1">
      <alignment wrapText="1"/>
    </xf>
    <xf numFmtId="0" fontId="10" fillId="2" borderId="21" xfId="0" applyFont="1" applyFill="1" applyBorder="1" applyAlignment="1">
      <alignment horizontal="right"/>
    </xf>
    <xf numFmtId="2" fontId="10" fillId="2" borderId="53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6" fillId="2" borderId="0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wrapText="1"/>
    </xf>
    <xf numFmtId="165" fontId="6" fillId="2" borderId="11" xfId="0" applyNumberFormat="1" applyFont="1" applyFill="1" applyBorder="1" applyAlignment="1">
      <alignment horizontal="right"/>
    </xf>
    <xf numFmtId="165" fontId="6" fillId="2" borderId="19" xfId="0" applyNumberFormat="1" applyFont="1" applyFill="1" applyBorder="1" applyAlignment="1">
      <alignment horizontal="right"/>
    </xf>
    <xf numFmtId="2" fontId="6" fillId="2" borderId="24" xfId="0" applyNumberFormat="1" applyFont="1" applyFill="1" applyBorder="1" applyAlignment="1">
      <alignment wrapText="1"/>
    </xf>
    <xf numFmtId="165" fontId="6" fillId="2" borderId="2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" xfId="0" applyNumberFormat="1" applyFont="1" applyFill="1" applyBorder="1" applyAlignment="1">
      <alignment horizontal="center" wrapText="1"/>
    </xf>
    <xf numFmtId="169" fontId="12" fillId="2" borderId="45" xfId="0" applyNumberFormat="1" applyFont="1" applyFill="1" applyBorder="1" applyAlignment="1">
      <alignment horizontal="right"/>
    </xf>
    <xf numFmtId="169" fontId="7" fillId="0" borderId="0" xfId="0" applyNumberFormat="1" applyFont="1" applyFill="1"/>
    <xf numFmtId="2" fontId="6" fillId="2" borderId="48" xfId="0" applyNumberFormat="1" applyFont="1" applyFill="1" applyBorder="1" applyAlignment="1">
      <alignment horizontal="right"/>
    </xf>
    <xf numFmtId="165" fontId="6" fillId="2" borderId="54" xfId="0" applyNumberFormat="1" applyFont="1" applyFill="1" applyBorder="1" applyAlignment="1">
      <alignment horizontal="right"/>
    </xf>
    <xf numFmtId="2" fontId="6" fillId="2" borderId="56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wrapText="1"/>
    </xf>
    <xf numFmtId="167" fontId="5" fillId="3" borderId="0" xfId="0" applyNumberFormat="1" applyFont="1" applyFill="1" applyAlignment="1">
      <alignment horizontal="left" indent="2"/>
    </xf>
    <xf numFmtId="169" fontId="6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/>
    <xf numFmtId="2" fontId="6" fillId="2" borderId="0" xfId="0" applyNumberFormat="1" applyFont="1" applyFill="1" applyBorder="1" applyAlignment="1">
      <alignment horizontal="right"/>
    </xf>
    <xf numFmtId="169" fontId="12" fillId="2" borderId="16" xfId="0" applyNumberFormat="1" applyFont="1" applyFill="1" applyBorder="1" applyAlignment="1">
      <alignment horizontal="right"/>
    </xf>
    <xf numFmtId="169" fontId="7" fillId="0" borderId="57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6" fillId="2" borderId="2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/>
    </xf>
    <xf numFmtId="3" fontId="7" fillId="0" borderId="55" xfId="0" applyNumberFormat="1" applyFont="1" applyFill="1" applyBorder="1" applyAlignment="1">
      <alignment horizontal="right"/>
    </xf>
    <xf numFmtId="173" fontId="6" fillId="0" borderId="18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173" fontId="7" fillId="0" borderId="2" xfId="0" applyNumberFormat="1" applyFont="1" applyFill="1" applyBorder="1"/>
    <xf numFmtId="173" fontId="6" fillId="0" borderId="2" xfId="0" applyNumberFormat="1" applyFont="1" applyFill="1" applyBorder="1"/>
    <xf numFmtId="173" fontId="6" fillId="0" borderId="28" xfId="0" applyNumberFormat="1" applyFont="1" applyFill="1" applyBorder="1" applyAlignment="1">
      <alignment horizontal="right"/>
    </xf>
    <xf numFmtId="173" fontId="6" fillId="0" borderId="22" xfId="0" applyNumberFormat="1" applyFont="1" applyFill="1" applyBorder="1" applyAlignment="1">
      <alignment horizontal="right"/>
    </xf>
    <xf numFmtId="173" fontId="6" fillId="0" borderId="29" xfId="0" applyNumberFormat="1" applyFont="1" applyFill="1" applyBorder="1"/>
    <xf numFmtId="173" fontId="6" fillId="0" borderId="30" xfId="0" applyNumberFormat="1" applyFont="1" applyFill="1" applyBorder="1"/>
    <xf numFmtId="173" fontId="7" fillId="0" borderId="49" xfId="0" applyNumberFormat="1" applyFont="1" applyFill="1" applyBorder="1" applyAlignment="1">
      <alignment horizontal="right"/>
    </xf>
    <xf numFmtId="173" fontId="6" fillId="0" borderId="50" xfId="0" applyNumberFormat="1" applyFont="1" applyFill="1" applyBorder="1" applyAlignment="1">
      <alignment horizontal="right"/>
    </xf>
    <xf numFmtId="173" fontId="7" fillId="0" borderId="23" xfId="0" applyNumberFormat="1" applyFont="1" applyFill="1" applyBorder="1"/>
    <xf numFmtId="0" fontId="13" fillId="4" borderId="11" xfId="0" applyFont="1" applyFill="1" applyBorder="1" applyAlignment="1"/>
    <xf numFmtId="0" fontId="13" fillId="4" borderId="0" xfId="0" applyFont="1" applyFill="1" applyAlignment="1"/>
    <xf numFmtId="0" fontId="13" fillId="4" borderId="11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7" fontId="6" fillId="0" borderId="19" xfId="0" applyNumberFormat="1" applyFont="1" applyFill="1" applyBorder="1" applyAlignment="1">
      <alignment horizontal="center" wrapText="1"/>
    </xf>
    <xf numFmtId="167" fontId="6" fillId="0" borderId="44" xfId="0" applyNumberFormat="1" applyFont="1" applyFill="1" applyBorder="1" applyAlignment="1">
      <alignment horizontal="center" wrapText="1"/>
    </xf>
    <xf numFmtId="0" fontId="6" fillId="0" borderId="27" xfId="0" applyNumberFormat="1" applyFont="1" applyFill="1" applyBorder="1" applyAlignment="1">
      <alignment horizontal="center" wrapText="1"/>
    </xf>
    <xf numFmtId="0" fontId="6" fillId="0" borderId="51" xfId="0" applyNumberFormat="1" applyFont="1" applyFill="1" applyBorder="1" applyAlignment="1">
      <alignment horizontal="center" wrapText="1"/>
    </xf>
    <xf numFmtId="2" fontId="6" fillId="0" borderId="37" xfId="0" applyNumberFormat="1" applyFont="1" applyFill="1" applyBorder="1" applyAlignment="1">
      <alignment horizontal="center"/>
    </xf>
    <xf numFmtId="2" fontId="6" fillId="0" borderId="44" xfId="0" applyNumberFormat="1" applyFont="1" applyFill="1" applyBorder="1" applyAlignment="1">
      <alignment horizontal="center"/>
    </xf>
    <xf numFmtId="2" fontId="6" fillId="0" borderId="36" xfId="0" applyNumberFormat="1" applyFont="1" applyFill="1" applyBorder="1" applyAlignment="1">
      <alignment horizontal="center"/>
    </xf>
    <xf numFmtId="2" fontId="6" fillId="0" borderId="52" xfId="0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8"/>
  <sheetViews>
    <sheetView tabSelected="1" view="pageBreakPreview" topLeftCell="A83" zoomScale="60" zoomScaleNormal="100" workbookViewId="0">
      <selection activeCell="M103" sqref="M103"/>
    </sheetView>
  </sheetViews>
  <sheetFormatPr defaultRowHeight="12.75" x14ac:dyDescent="0.2"/>
  <cols>
    <col min="1" max="1" width="42.28515625" style="31" customWidth="1"/>
    <col min="2" max="2" width="10.85546875" style="31" customWidth="1"/>
    <col min="3" max="3" width="12.28515625" style="31" customWidth="1"/>
    <col min="4" max="4" width="13" style="31" customWidth="1"/>
    <col min="5" max="5" width="11" style="31" customWidth="1"/>
    <col min="6" max="6" width="14" style="31" customWidth="1"/>
    <col min="7" max="8" width="14" style="31" hidden="1" customWidth="1"/>
    <col min="9" max="9" width="19.85546875" style="31" hidden="1" customWidth="1"/>
    <col min="10" max="11" width="19.5703125" style="31" hidden="1" customWidth="1"/>
    <col min="12" max="13" width="19.5703125" style="31" customWidth="1"/>
    <col min="14" max="14" width="14.7109375" style="164" bestFit="1" customWidth="1"/>
    <col min="15" max="15" width="14" style="31" customWidth="1"/>
    <col min="17" max="17" width="17.42578125" bestFit="1" customWidth="1"/>
  </cols>
  <sheetData>
    <row r="1" spans="1:18" ht="21" customHeight="1" thickBot="1" x14ac:dyDescent="0.3">
      <c r="A1" s="59"/>
      <c r="B1" s="60"/>
      <c r="C1" s="246" t="s">
        <v>78</v>
      </c>
      <c r="D1" s="247"/>
      <c r="E1" s="247"/>
      <c r="F1" s="247"/>
      <c r="G1" s="247"/>
      <c r="H1" s="247"/>
      <c r="I1" s="247"/>
      <c r="J1" s="248"/>
      <c r="K1" s="166"/>
      <c r="L1" s="166"/>
      <c r="M1" s="166"/>
      <c r="N1" s="149"/>
      <c r="O1" s="47"/>
    </row>
    <row r="2" spans="1:18" ht="12.75" customHeight="1" x14ac:dyDescent="0.25">
      <c r="A2" s="61" t="s">
        <v>32</v>
      </c>
      <c r="B2" s="30"/>
      <c r="C2" s="245" t="s">
        <v>98</v>
      </c>
      <c r="D2" s="243"/>
      <c r="E2" s="243"/>
      <c r="F2" s="243"/>
      <c r="G2" s="243"/>
      <c r="H2" s="243"/>
      <c r="I2" s="243"/>
      <c r="J2" s="243"/>
      <c r="K2" s="8"/>
      <c r="L2" s="8"/>
      <c r="M2" s="8"/>
      <c r="N2" s="150"/>
      <c r="O2" s="30"/>
    </row>
    <row r="3" spans="1:18" ht="12.75" customHeight="1" x14ac:dyDescent="0.25">
      <c r="A3" s="61"/>
      <c r="B3" s="61"/>
      <c r="C3" s="244"/>
      <c r="D3" s="244"/>
      <c r="E3" s="244"/>
      <c r="F3" s="244"/>
      <c r="G3" s="244"/>
      <c r="H3" s="244"/>
      <c r="I3" s="244"/>
      <c r="J3" s="244"/>
      <c r="K3" s="8"/>
      <c r="L3" s="8"/>
      <c r="M3" s="8"/>
      <c r="N3" s="150"/>
      <c r="O3" s="30"/>
    </row>
    <row r="4" spans="1:18" ht="12.75" customHeight="1" x14ac:dyDescent="0.25">
      <c r="A4" s="61"/>
      <c r="B4" s="61"/>
      <c r="C4" s="244"/>
      <c r="D4" s="244"/>
      <c r="E4" s="244"/>
      <c r="F4" s="244"/>
      <c r="G4" s="244"/>
      <c r="H4" s="244"/>
      <c r="I4" s="244"/>
      <c r="J4" s="244"/>
      <c r="K4" s="8"/>
      <c r="L4" s="8"/>
      <c r="M4" s="8"/>
      <c r="N4" s="217"/>
      <c r="O4" s="30"/>
    </row>
    <row r="5" spans="1:18" ht="13.5" thickBot="1" x14ac:dyDescent="0.25">
      <c r="A5" s="61" t="s">
        <v>0</v>
      </c>
      <c r="B5" s="61"/>
      <c r="C5" s="30"/>
      <c r="D5" s="30"/>
      <c r="E5" s="30"/>
      <c r="F5" s="8"/>
      <c r="G5" s="8"/>
      <c r="H5" s="8"/>
      <c r="I5" s="9"/>
      <c r="J5" s="9" t="s">
        <v>65</v>
      </c>
      <c r="K5" s="148" t="s">
        <v>73</v>
      </c>
      <c r="L5" s="222" t="s">
        <v>90</v>
      </c>
      <c r="M5" s="222" t="s">
        <v>97</v>
      </c>
      <c r="N5" s="151"/>
      <c r="O5" s="30"/>
    </row>
    <row r="6" spans="1:18" ht="24.75" thickBot="1" x14ac:dyDescent="0.25">
      <c r="A6" s="62" t="s">
        <v>1</v>
      </c>
      <c r="B6" s="63" t="s">
        <v>2</v>
      </c>
      <c r="C6" s="64" t="s">
        <v>31</v>
      </c>
      <c r="D6" s="65" t="s">
        <v>3</v>
      </c>
      <c r="E6" s="249" t="s">
        <v>33</v>
      </c>
      <c r="F6" s="250"/>
      <c r="G6" s="32" t="s">
        <v>35</v>
      </c>
      <c r="H6" s="32" t="s">
        <v>63</v>
      </c>
      <c r="I6" s="10" t="s">
        <v>64</v>
      </c>
      <c r="J6" s="167" t="s">
        <v>76</v>
      </c>
      <c r="K6" s="195" t="s">
        <v>85</v>
      </c>
      <c r="L6" s="214" t="s">
        <v>91</v>
      </c>
      <c r="M6" s="214" t="s">
        <v>92</v>
      </c>
      <c r="N6" s="152" t="s">
        <v>4</v>
      </c>
      <c r="O6" s="48" t="s">
        <v>5</v>
      </c>
    </row>
    <row r="7" spans="1:18" x14ac:dyDescent="0.2">
      <c r="A7" s="62"/>
      <c r="B7" s="66"/>
      <c r="C7" s="67"/>
      <c r="D7" s="68"/>
      <c r="E7" s="251" t="s">
        <v>0</v>
      </c>
      <c r="F7" s="252"/>
      <c r="G7" s="165" t="s">
        <v>0</v>
      </c>
      <c r="H7" s="11" t="s">
        <v>0</v>
      </c>
      <c r="I7" s="11" t="s">
        <v>0</v>
      </c>
      <c r="J7" s="33" t="s">
        <v>0</v>
      </c>
      <c r="K7" s="213"/>
      <c r="L7" s="215" t="s">
        <v>87</v>
      </c>
      <c r="M7" s="215"/>
      <c r="N7" s="215" t="s">
        <v>87</v>
      </c>
      <c r="O7" s="215" t="s">
        <v>87</v>
      </c>
    </row>
    <row r="8" spans="1:18" x14ac:dyDescent="0.2">
      <c r="A8" s="69"/>
      <c r="B8" s="70"/>
      <c r="C8" s="71"/>
      <c r="D8" s="191"/>
      <c r="E8" s="7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96" t="s">
        <v>86</v>
      </c>
      <c r="L8" s="208"/>
      <c r="M8" s="208"/>
      <c r="N8" s="153"/>
      <c r="O8" s="49"/>
    </row>
    <row r="9" spans="1:18" x14ac:dyDescent="0.2">
      <c r="A9" s="62" t="s">
        <v>8</v>
      </c>
      <c r="B9" s="73">
        <v>1</v>
      </c>
      <c r="C9" s="74">
        <v>80</v>
      </c>
      <c r="D9" s="192">
        <v>452</v>
      </c>
      <c r="E9" s="75">
        <v>156.69342</v>
      </c>
      <c r="F9" s="75">
        <f>E9*1.313</f>
        <v>205.73846046</v>
      </c>
      <c r="G9" s="13">
        <v>100</v>
      </c>
      <c r="H9" s="13">
        <f>G9*111.03/100</f>
        <v>111.03</v>
      </c>
      <c r="I9" s="13">
        <v>118.77</v>
      </c>
      <c r="J9" s="168">
        <f>I9*7.39/100+I9</f>
        <v>127.54710299999999</v>
      </c>
      <c r="K9" s="197">
        <f>J9*12.2/100+J9</f>
        <v>143.107849566</v>
      </c>
      <c r="L9" s="197">
        <f>K9*1.0764</f>
        <v>154.04128927284239</v>
      </c>
      <c r="M9" s="197">
        <f>L9*1.0188</f>
        <v>156.93726551117183</v>
      </c>
      <c r="N9" s="176">
        <f>M9*D9*12</f>
        <v>851227.72813259601</v>
      </c>
      <c r="O9" s="50"/>
      <c r="Q9" s="38"/>
    </row>
    <row r="10" spans="1:18" x14ac:dyDescent="0.2">
      <c r="A10" s="2"/>
      <c r="B10" s="73">
        <v>3</v>
      </c>
      <c r="C10" s="74">
        <v>80</v>
      </c>
      <c r="D10" s="192">
        <v>24</v>
      </c>
      <c r="E10" s="75">
        <v>301.2022</v>
      </c>
      <c r="F10" s="75">
        <f>E10*1.313</f>
        <v>395.47848859999999</v>
      </c>
      <c r="G10" s="13">
        <v>160</v>
      </c>
      <c r="H10" s="13">
        <f t="shared" ref="H10:H43" si="0">G10*111.03/100</f>
        <v>177.648</v>
      </c>
      <c r="I10" s="13">
        <f>H10*7/100+H10</f>
        <v>190.08336</v>
      </c>
      <c r="J10" s="168">
        <f t="shared" ref="J10:J43" si="1">I10*7.39/100+I10</f>
        <v>204.13052030399999</v>
      </c>
      <c r="K10" s="197">
        <f>J10*12.2/100+J10</f>
        <v>229.03444378108799</v>
      </c>
      <c r="L10" s="197">
        <f t="shared" ref="L10:L42" si="2">K10*1.0764</f>
        <v>246.53267528596311</v>
      </c>
      <c r="M10" s="197">
        <f t="shared" ref="M10:M43" si="3">L10*1.0188</f>
        <v>251.1674895813392</v>
      </c>
      <c r="N10" s="176">
        <f t="shared" ref="N10:N42" si="4">M10*D10*12</f>
        <v>72336.236999425688</v>
      </c>
      <c r="O10" s="51">
        <f>N10+N9</f>
        <v>923563.96513202169</v>
      </c>
      <c r="Q10" s="39"/>
      <c r="R10" s="40"/>
    </row>
    <row r="11" spans="1:18" x14ac:dyDescent="0.2">
      <c r="A11" s="30"/>
      <c r="B11" s="73"/>
      <c r="C11" s="74"/>
      <c r="D11" s="192"/>
      <c r="E11" s="75"/>
      <c r="F11" s="75"/>
      <c r="G11" s="13"/>
      <c r="H11" s="13"/>
      <c r="I11" s="13"/>
      <c r="J11" s="168"/>
      <c r="K11" s="197">
        <f t="shared" ref="K11:K42" si="5">J11*12.2/100+J11</f>
        <v>0</v>
      </c>
      <c r="L11" s="197">
        <f t="shared" si="2"/>
        <v>0</v>
      </c>
      <c r="M11" s="197">
        <f t="shared" si="3"/>
        <v>0</v>
      </c>
      <c r="N11" s="176">
        <f t="shared" si="4"/>
        <v>0</v>
      </c>
      <c r="O11" s="51"/>
    </row>
    <row r="12" spans="1:18" x14ac:dyDescent="0.2">
      <c r="A12" s="76" t="s">
        <v>9</v>
      </c>
      <c r="B12" s="73">
        <v>1</v>
      </c>
      <c r="C12" s="74">
        <v>80</v>
      </c>
      <c r="D12" s="192"/>
      <c r="E12" s="75">
        <v>348.20759999999996</v>
      </c>
      <c r="F12" s="75">
        <f>E12*1.313</f>
        <v>457.19657879999994</v>
      </c>
      <c r="G12" s="13">
        <v>250</v>
      </c>
      <c r="H12" s="13">
        <f t="shared" si="0"/>
        <v>277.57499999999999</v>
      </c>
      <c r="I12" s="13">
        <f>H12*7/100+H12</f>
        <v>297.00524999999999</v>
      </c>
      <c r="J12" s="168">
        <f t="shared" si="1"/>
        <v>318.95393797499997</v>
      </c>
      <c r="K12" s="197">
        <f>J12*12.2/100+J12</f>
        <v>357.86631840794996</v>
      </c>
      <c r="L12" s="197">
        <f t="shared" si="2"/>
        <v>385.20730513431732</v>
      </c>
      <c r="M12" s="197">
        <f t="shared" si="3"/>
        <v>392.44920247084247</v>
      </c>
      <c r="N12" s="176">
        <f t="shared" si="4"/>
        <v>0</v>
      </c>
      <c r="O12" s="51"/>
    </row>
    <row r="13" spans="1:18" x14ac:dyDescent="0.2">
      <c r="A13" s="30"/>
      <c r="B13" s="73">
        <v>3</v>
      </c>
      <c r="C13" s="74">
        <v>80</v>
      </c>
      <c r="D13" s="192"/>
      <c r="E13" s="75">
        <v>676.66050000000007</v>
      </c>
      <c r="F13" s="75">
        <f>E13*1.35</f>
        <v>913.4916750000001</v>
      </c>
      <c r="G13" s="13">
        <v>300</v>
      </c>
      <c r="H13" s="13">
        <f t="shared" si="0"/>
        <v>333.09</v>
      </c>
      <c r="I13" s="13">
        <f>H13*7/100+H13</f>
        <v>356.40629999999999</v>
      </c>
      <c r="J13" s="168">
        <f t="shared" si="1"/>
        <v>382.74472557000001</v>
      </c>
      <c r="K13" s="197">
        <f>J13*12.2/100+J13</f>
        <v>429.43958208954001</v>
      </c>
      <c r="L13" s="197">
        <f t="shared" si="2"/>
        <v>462.24876616118087</v>
      </c>
      <c r="M13" s="197">
        <f t="shared" si="3"/>
        <v>470.93904296501103</v>
      </c>
      <c r="N13" s="176">
        <f t="shared" si="4"/>
        <v>0</v>
      </c>
      <c r="O13" s="51"/>
    </row>
    <row r="14" spans="1:18" x14ac:dyDescent="0.2">
      <c r="A14" s="30"/>
      <c r="B14" s="73"/>
      <c r="C14" s="74"/>
      <c r="D14" s="192"/>
      <c r="E14" s="75"/>
      <c r="F14" s="75"/>
      <c r="G14" s="13"/>
      <c r="H14" s="13"/>
      <c r="I14" s="13"/>
      <c r="J14" s="168"/>
      <c r="K14" s="197"/>
      <c r="L14" s="197">
        <f t="shared" si="2"/>
        <v>0</v>
      </c>
      <c r="M14" s="197">
        <f>L14*1.0188</f>
        <v>0</v>
      </c>
      <c r="N14" s="176">
        <f t="shared" si="4"/>
        <v>0</v>
      </c>
      <c r="O14" s="50"/>
    </row>
    <row r="15" spans="1:18" x14ac:dyDescent="0.2">
      <c r="A15" s="76" t="s">
        <v>54</v>
      </c>
      <c r="B15" s="73">
        <v>1</v>
      </c>
      <c r="C15" s="74">
        <v>80</v>
      </c>
      <c r="D15" s="192">
        <v>11</v>
      </c>
      <c r="E15" s="75"/>
      <c r="F15" s="75"/>
      <c r="G15" s="13">
        <v>100</v>
      </c>
      <c r="H15" s="13">
        <f t="shared" si="0"/>
        <v>111.03</v>
      </c>
      <c r="I15" s="13">
        <v>118.77</v>
      </c>
      <c r="J15" s="168">
        <f t="shared" si="1"/>
        <v>127.54710299999999</v>
      </c>
      <c r="K15" s="197">
        <f>J15*12.2/100+J15</f>
        <v>143.107849566</v>
      </c>
      <c r="L15" s="197">
        <f t="shared" si="2"/>
        <v>154.04128927284239</v>
      </c>
      <c r="M15" s="197">
        <f t="shared" si="3"/>
        <v>156.93726551117183</v>
      </c>
      <c r="N15" s="176">
        <f t="shared" si="4"/>
        <v>20715.719047474682</v>
      </c>
      <c r="O15" s="50"/>
    </row>
    <row r="16" spans="1:18" x14ac:dyDescent="0.2">
      <c r="A16" s="76" t="s">
        <v>54</v>
      </c>
      <c r="B16" s="73">
        <v>3</v>
      </c>
      <c r="C16" s="74">
        <v>80</v>
      </c>
      <c r="D16" s="192">
        <v>8</v>
      </c>
      <c r="E16" s="75"/>
      <c r="F16" s="75"/>
      <c r="G16" s="13">
        <v>200</v>
      </c>
      <c r="H16" s="13">
        <f t="shared" si="0"/>
        <v>222.06</v>
      </c>
      <c r="I16" s="13">
        <f>H16*7/100+H16</f>
        <v>237.60419999999999</v>
      </c>
      <c r="J16" s="168">
        <f t="shared" si="1"/>
        <v>255.16315037999999</v>
      </c>
      <c r="K16" s="197">
        <f t="shared" si="5"/>
        <v>286.29305472635997</v>
      </c>
      <c r="L16" s="197">
        <f t="shared" si="2"/>
        <v>308.16584410745389</v>
      </c>
      <c r="M16" s="197">
        <f t="shared" si="3"/>
        <v>313.95936197667402</v>
      </c>
      <c r="N16" s="176">
        <f t="shared" si="4"/>
        <v>30140.098749760706</v>
      </c>
      <c r="O16" s="50"/>
    </row>
    <row r="17" spans="1:15" x14ac:dyDescent="0.2">
      <c r="A17" s="76" t="s">
        <v>54</v>
      </c>
      <c r="B17" s="73">
        <v>3</v>
      </c>
      <c r="C17" s="77" t="s">
        <v>58</v>
      </c>
      <c r="D17" s="192">
        <v>0</v>
      </c>
      <c r="E17" s="75"/>
      <c r="F17" s="75"/>
      <c r="G17" s="13">
        <v>330</v>
      </c>
      <c r="H17" s="13">
        <f t="shared" si="0"/>
        <v>366.399</v>
      </c>
      <c r="I17" s="13">
        <f>H17*7/100+H17</f>
        <v>392.04692999999997</v>
      </c>
      <c r="J17" s="168">
        <f t="shared" si="1"/>
        <v>421.01919812699998</v>
      </c>
      <c r="K17" s="197">
        <f>J17*12.2/100+J17</f>
        <v>472.38354029849398</v>
      </c>
      <c r="L17" s="197">
        <f t="shared" si="2"/>
        <v>508.47364277729895</v>
      </c>
      <c r="M17" s="197">
        <f t="shared" si="3"/>
        <v>518.03294726151216</v>
      </c>
      <c r="N17" s="176">
        <f t="shared" si="4"/>
        <v>0</v>
      </c>
      <c r="O17" s="50"/>
    </row>
    <row r="18" spans="1:15" x14ac:dyDescent="0.2">
      <c r="A18" s="76" t="s">
        <v>77</v>
      </c>
      <c r="B18" s="73">
        <v>3</v>
      </c>
      <c r="C18" s="74" t="s">
        <v>55</v>
      </c>
      <c r="D18" s="192">
        <v>2</v>
      </c>
      <c r="E18" s="75"/>
      <c r="F18" s="75"/>
      <c r="G18" s="13">
        <v>330</v>
      </c>
      <c r="H18" s="13">
        <f t="shared" si="0"/>
        <v>366.399</v>
      </c>
      <c r="I18" s="13">
        <f>H18*7/100+H18</f>
        <v>392.04692999999997</v>
      </c>
      <c r="J18" s="168">
        <f t="shared" si="1"/>
        <v>421.01919812699998</v>
      </c>
      <c r="K18" s="197">
        <f t="shared" si="5"/>
        <v>472.38354029849398</v>
      </c>
      <c r="L18" s="197">
        <f t="shared" si="2"/>
        <v>508.47364277729895</v>
      </c>
      <c r="M18" s="197">
        <f t="shared" si="3"/>
        <v>518.03294726151216</v>
      </c>
      <c r="N18" s="176">
        <f t="shared" si="4"/>
        <v>12432.790734276292</v>
      </c>
      <c r="O18" s="50"/>
    </row>
    <row r="19" spans="1:15" x14ac:dyDescent="0.2">
      <c r="A19" s="76" t="s">
        <v>56</v>
      </c>
      <c r="B19" s="73" t="s">
        <v>55</v>
      </c>
      <c r="C19" s="74" t="s">
        <v>55</v>
      </c>
      <c r="D19" s="192">
        <v>42</v>
      </c>
      <c r="E19" s="75"/>
      <c r="F19" s="75"/>
      <c r="G19" s="13"/>
      <c r="H19" s="13"/>
      <c r="I19" s="13"/>
      <c r="J19" s="168"/>
      <c r="K19" s="197"/>
      <c r="L19" s="197">
        <f t="shared" si="2"/>
        <v>0</v>
      </c>
      <c r="M19" s="197">
        <f t="shared" si="3"/>
        <v>0</v>
      </c>
      <c r="N19" s="176">
        <f t="shared" si="4"/>
        <v>0</v>
      </c>
      <c r="O19" s="50"/>
    </row>
    <row r="20" spans="1:15" x14ac:dyDescent="0.2">
      <c r="A20" s="76" t="s">
        <v>57</v>
      </c>
      <c r="B20" s="73">
        <v>1</v>
      </c>
      <c r="C20" s="74">
        <v>80</v>
      </c>
      <c r="D20" s="192">
        <v>9</v>
      </c>
      <c r="E20" s="75"/>
      <c r="F20" s="75"/>
      <c r="G20" s="13">
        <v>100</v>
      </c>
      <c r="H20" s="13">
        <f t="shared" si="0"/>
        <v>111.03</v>
      </c>
      <c r="I20" s="13">
        <v>118.77</v>
      </c>
      <c r="J20" s="168">
        <f t="shared" si="1"/>
        <v>127.54710299999999</v>
      </c>
      <c r="K20" s="197">
        <f>J20*12.2/100+J20</f>
        <v>143.107849566</v>
      </c>
      <c r="L20" s="197">
        <f t="shared" si="2"/>
        <v>154.04128927284239</v>
      </c>
      <c r="M20" s="197">
        <f t="shared" si="3"/>
        <v>156.93726551117183</v>
      </c>
      <c r="N20" s="176">
        <f t="shared" si="4"/>
        <v>16949.224675206555</v>
      </c>
      <c r="O20" s="50"/>
    </row>
    <row r="21" spans="1:15" x14ac:dyDescent="0.2">
      <c r="A21" s="30"/>
      <c r="B21" s="73">
        <v>3</v>
      </c>
      <c r="C21" s="74">
        <v>80</v>
      </c>
      <c r="D21" s="192"/>
      <c r="E21" s="75"/>
      <c r="F21" s="75"/>
      <c r="G21" s="13">
        <v>330</v>
      </c>
      <c r="H21" s="13">
        <f t="shared" si="0"/>
        <v>366.399</v>
      </c>
      <c r="I21" s="13">
        <f>H21*7/100+H21</f>
        <v>392.04692999999997</v>
      </c>
      <c r="J21" s="168">
        <f t="shared" si="1"/>
        <v>421.01919812699998</v>
      </c>
      <c r="K21" s="197">
        <f>J21*12.2/100+J21</f>
        <v>472.38354029849398</v>
      </c>
      <c r="L21" s="197">
        <f t="shared" si="2"/>
        <v>508.47364277729895</v>
      </c>
      <c r="M21" s="197">
        <f t="shared" si="3"/>
        <v>518.03294726151216</v>
      </c>
      <c r="N21" s="176">
        <f t="shared" si="4"/>
        <v>0</v>
      </c>
      <c r="O21" s="50"/>
    </row>
    <row r="22" spans="1:15" x14ac:dyDescent="0.2">
      <c r="A22" s="30"/>
      <c r="B22" s="73">
        <v>3</v>
      </c>
      <c r="C22" s="77" t="s">
        <v>58</v>
      </c>
      <c r="D22" s="192"/>
      <c r="E22" s="75"/>
      <c r="F22" s="75"/>
      <c r="G22" s="13">
        <v>550</v>
      </c>
      <c r="H22" s="13">
        <f t="shared" si="0"/>
        <v>610.66499999999996</v>
      </c>
      <c r="I22" s="13">
        <f>H22*7/100+H22</f>
        <v>653.41154999999992</v>
      </c>
      <c r="J22" s="168">
        <f t="shared" si="1"/>
        <v>701.69866354499993</v>
      </c>
      <c r="K22" s="197">
        <f t="shared" si="5"/>
        <v>787.30590049748992</v>
      </c>
      <c r="L22" s="197">
        <f t="shared" si="2"/>
        <v>847.45607129549819</v>
      </c>
      <c r="M22" s="197">
        <f t="shared" si="3"/>
        <v>863.38824543585349</v>
      </c>
      <c r="N22" s="176">
        <f t="shared" si="4"/>
        <v>0</v>
      </c>
      <c r="O22" s="51">
        <f>N15+N16+N17+N18+N19+N20+N21+N22</f>
        <v>80237.833206718235</v>
      </c>
    </row>
    <row r="23" spans="1:15" x14ac:dyDescent="0.2">
      <c r="A23" s="76" t="s">
        <v>10</v>
      </c>
      <c r="B23" s="78"/>
      <c r="C23" s="74"/>
      <c r="D23" s="192"/>
      <c r="E23" s="75"/>
      <c r="F23" s="75"/>
      <c r="G23" s="13"/>
      <c r="H23" s="13"/>
      <c r="I23" s="13"/>
      <c r="J23" s="168"/>
      <c r="K23" s="197"/>
      <c r="L23" s="197">
        <f t="shared" si="2"/>
        <v>0</v>
      </c>
      <c r="M23" s="197">
        <f t="shared" si="3"/>
        <v>0</v>
      </c>
      <c r="N23" s="176">
        <f t="shared" si="4"/>
        <v>0</v>
      </c>
      <c r="O23" s="50"/>
    </row>
    <row r="24" spans="1:15" x14ac:dyDescent="0.2">
      <c r="A24" s="30"/>
      <c r="B24" s="73">
        <v>1</v>
      </c>
      <c r="C24" s="74">
        <v>40</v>
      </c>
      <c r="D24" s="193">
        <v>40</v>
      </c>
      <c r="E24" s="75">
        <v>0</v>
      </c>
      <c r="F24" s="75">
        <f t="shared" ref="F24:F30" si="6">E24*1.313</f>
        <v>0</v>
      </c>
      <c r="G24" s="13">
        <f>F24*1.2038</f>
        <v>0</v>
      </c>
      <c r="H24" s="13">
        <f t="shared" si="0"/>
        <v>0</v>
      </c>
      <c r="I24" s="13"/>
      <c r="J24" s="168"/>
      <c r="K24" s="197"/>
      <c r="L24" s="197">
        <f t="shared" si="2"/>
        <v>0</v>
      </c>
      <c r="M24" s="197">
        <f t="shared" si="3"/>
        <v>0</v>
      </c>
      <c r="N24" s="176">
        <f t="shared" si="4"/>
        <v>0</v>
      </c>
      <c r="O24" s="50"/>
    </row>
    <row r="25" spans="1:15" x14ac:dyDescent="0.2">
      <c r="A25" s="30"/>
      <c r="B25" s="73">
        <v>1</v>
      </c>
      <c r="C25" s="74">
        <v>80</v>
      </c>
      <c r="D25" s="192">
        <v>63</v>
      </c>
      <c r="E25" s="75">
        <v>348.20759999999996</v>
      </c>
      <c r="F25" s="75">
        <f t="shared" si="6"/>
        <v>457.19657879999994</v>
      </c>
      <c r="G25" s="13">
        <v>550.38</v>
      </c>
      <c r="H25" s="13">
        <f t="shared" si="0"/>
        <v>611.08691399999998</v>
      </c>
      <c r="I25" s="13">
        <v>571.42999999999995</v>
      </c>
      <c r="J25" s="168">
        <f t="shared" si="1"/>
        <v>613.6586769999999</v>
      </c>
      <c r="K25" s="197">
        <f>J25*12.2/100+J25</f>
        <v>688.52503559399986</v>
      </c>
      <c r="L25" s="197">
        <f t="shared" si="2"/>
        <v>741.12834831338148</v>
      </c>
      <c r="M25" s="197">
        <f t="shared" si="3"/>
        <v>755.06156126167298</v>
      </c>
      <c r="N25" s="176">
        <f t="shared" si="4"/>
        <v>570826.54031382478</v>
      </c>
      <c r="O25" s="50"/>
    </row>
    <row r="26" spans="1:15" x14ac:dyDescent="0.2">
      <c r="A26" s="30"/>
      <c r="B26" s="73">
        <v>3</v>
      </c>
      <c r="C26" s="74">
        <v>40</v>
      </c>
      <c r="D26" s="192">
        <v>28</v>
      </c>
      <c r="E26" s="75">
        <v>423.07486</v>
      </c>
      <c r="F26" s="75">
        <f t="shared" si="6"/>
        <v>555.49729117999993</v>
      </c>
      <c r="G26" s="13">
        <v>668.71</v>
      </c>
      <c r="H26" s="13">
        <f t="shared" si="0"/>
        <v>742.46871299999998</v>
      </c>
      <c r="I26" s="13">
        <f>H26*7/100+H26</f>
        <v>794.44152291</v>
      </c>
      <c r="J26" s="168">
        <f t="shared" si="1"/>
        <v>853.150751453049</v>
      </c>
      <c r="K26" s="197">
        <f t="shared" si="5"/>
        <v>957.23514313032092</v>
      </c>
      <c r="L26" s="197">
        <f t="shared" si="2"/>
        <v>1030.3679080654774</v>
      </c>
      <c r="M26" s="197">
        <f t="shared" si="3"/>
        <v>1049.7388247371084</v>
      </c>
      <c r="N26" s="176">
        <f t="shared" si="4"/>
        <v>352712.24511166842</v>
      </c>
      <c r="O26" s="50"/>
    </row>
    <row r="27" spans="1:15" x14ac:dyDescent="0.2">
      <c r="A27" s="30"/>
      <c r="B27" s="73">
        <v>3</v>
      </c>
      <c r="C27" s="74">
        <v>80</v>
      </c>
      <c r="D27" s="192">
        <v>59</v>
      </c>
      <c r="E27" s="75">
        <v>658.11499000000003</v>
      </c>
      <c r="F27" s="75">
        <f t="shared" si="6"/>
        <v>864.10498186999996</v>
      </c>
      <c r="G27" s="13">
        <v>810</v>
      </c>
      <c r="H27" s="13">
        <f t="shared" si="0"/>
        <v>899.34300000000007</v>
      </c>
      <c r="I27" s="13">
        <f>H27*7/100+H27</f>
        <v>962.29701000000011</v>
      </c>
      <c r="J27" s="168">
        <f t="shared" si="1"/>
        <v>1033.4107590390001</v>
      </c>
      <c r="K27" s="197">
        <f t="shared" si="5"/>
        <v>1159.4868716417582</v>
      </c>
      <c r="L27" s="197">
        <f t="shared" si="2"/>
        <v>1248.0716686351884</v>
      </c>
      <c r="M27" s="197">
        <f t="shared" si="3"/>
        <v>1271.5354160055299</v>
      </c>
      <c r="N27" s="176">
        <f t="shared" si="4"/>
        <v>900247.07453191525</v>
      </c>
      <c r="O27" s="50"/>
    </row>
    <row r="28" spans="1:15" x14ac:dyDescent="0.2">
      <c r="A28" s="30"/>
      <c r="B28" s="73">
        <v>3</v>
      </c>
      <c r="C28" s="74">
        <v>150</v>
      </c>
      <c r="D28" s="192">
        <v>14</v>
      </c>
      <c r="E28" s="75">
        <v>870.51900000000001</v>
      </c>
      <c r="F28" s="75">
        <f t="shared" si="6"/>
        <v>1142.9914469999999</v>
      </c>
      <c r="G28" s="13">
        <v>1375.93</v>
      </c>
      <c r="H28" s="13">
        <f t="shared" si="0"/>
        <v>1527.6950790000001</v>
      </c>
      <c r="I28" s="13">
        <f>H28*7/100+H28</f>
        <v>1634.6337345300001</v>
      </c>
      <c r="J28" s="168">
        <f t="shared" si="1"/>
        <v>1755.4331675117671</v>
      </c>
      <c r="K28" s="197">
        <f t="shared" si="5"/>
        <v>1969.5960139482027</v>
      </c>
      <c r="L28" s="197">
        <f t="shared" si="2"/>
        <v>2120.0731494138454</v>
      </c>
      <c r="M28" s="197">
        <f t="shared" si="3"/>
        <v>2159.9305246228255</v>
      </c>
      <c r="N28" s="176">
        <f t="shared" si="4"/>
        <v>362868.32813663466</v>
      </c>
      <c r="O28" s="50"/>
    </row>
    <row r="29" spans="1:15" x14ac:dyDescent="0.2">
      <c r="A29" s="30"/>
      <c r="B29" s="73"/>
      <c r="C29" s="4">
        <f>D24+D25+D26+D27+5+8+39+14</f>
        <v>256</v>
      </c>
      <c r="D29" s="192"/>
      <c r="E29" s="75"/>
      <c r="F29" s="75"/>
      <c r="G29" s="13"/>
      <c r="H29" s="13"/>
      <c r="I29" s="13"/>
      <c r="J29" s="168"/>
      <c r="K29" s="197"/>
      <c r="L29" s="197">
        <f t="shared" si="2"/>
        <v>0</v>
      </c>
      <c r="M29" s="197">
        <f t="shared" si="3"/>
        <v>0</v>
      </c>
      <c r="N29" s="176">
        <f t="shared" si="4"/>
        <v>0</v>
      </c>
      <c r="O29" s="50"/>
    </row>
    <row r="30" spans="1:15" x14ac:dyDescent="0.2">
      <c r="A30" s="76" t="s">
        <v>11</v>
      </c>
      <c r="B30" s="78"/>
      <c r="C30" s="4"/>
      <c r="D30" s="192">
        <v>17</v>
      </c>
      <c r="E30" s="75">
        <v>1653.9861000000001</v>
      </c>
      <c r="F30" s="75">
        <f t="shared" si="6"/>
        <v>2171.6837492999998</v>
      </c>
      <c r="G30" s="13">
        <v>2613</v>
      </c>
      <c r="H30" s="13">
        <f t="shared" si="0"/>
        <v>2901.2139000000002</v>
      </c>
      <c r="I30" s="13">
        <v>3104.07</v>
      </c>
      <c r="J30" s="168">
        <f t="shared" si="1"/>
        <v>3333.4607730000002</v>
      </c>
      <c r="K30" s="197">
        <f t="shared" si="5"/>
        <v>3740.1429873060001</v>
      </c>
      <c r="L30" s="197">
        <f t="shared" si="2"/>
        <v>4025.8899115361787</v>
      </c>
      <c r="M30" s="197">
        <f t="shared" si="3"/>
        <v>4101.5766418730582</v>
      </c>
      <c r="N30" s="176">
        <f t="shared" si="4"/>
        <v>836721.63494210388</v>
      </c>
      <c r="O30" s="51">
        <f>N30+N28+N27+N26+N25+N24</f>
        <v>3023375.8230361473</v>
      </c>
    </row>
    <row r="31" spans="1:15" x14ac:dyDescent="0.2">
      <c r="A31" s="76"/>
      <c r="B31" s="78"/>
      <c r="C31" s="4"/>
      <c r="D31" s="192"/>
      <c r="E31" s="75"/>
      <c r="F31" s="75"/>
      <c r="G31" s="13"/>
      <c r="H31" s="13"/>
      <c r="I31" s="13"/>
      <c r="J31" s="168"/>
      <c r="K31" s="197"/>
      <c r="L31" s="197">
        <f t="shared" si="2"/>
        <v>0</v>
      </c>
      <c r="M31" s="197">
        <f t="shared" si="3"/>
        <v>0</v>
      </c>
      <c r="N31" s="176">
        <f t="shared" si="4"/>
        <v>0</v>
      </c>
      <c r="O31" s="50"/>
    </row>
    <row r="32" spans="1:15" x14ac:dyDescent="0.2">
      <c r="A32" s="76" t="s">
        <v>12</v>
      </c>
      <c r="B32" s="78"/>
      <c r="C32" s="4"/>
      <c r="D32" s="192"/>
      <c r="E32" s="75"/>
      <c r="F32" s="75"/>
      <c r="G32" s="13"/>
      <c r="H32" s="13"/>
      <c r="I32" s="13"/>
      <c r="J32" s="168"/>
      <c r="K32" s="197"/>
      <c r="L32" s="197">
        <f t="shared" si="2"/>
        <v>0</v>
      </c>
      <c r="M32" s="197">
        <f t="shared" si="3"/>
        <v>0</v>
      </c>
      <c r="N32" s="176">
        <f t="shared" si="4"/>
        <v>0</v>
      </c>
      <c r="O32" s="50"/>
    </row>
    <row r="33" spans="1:23" x14ac:dyDescent="0.2">
      <c r="A33" s="30"/>
      <c r="B33" s="73">
        <v>1</v>
      </c>
      <c r="C33" s="4">
        <v>80</v>
      </c>
      <c r="D33" s="192">
        <v>5</v>
      </c>
      <c r="E33" s="75">
        <v>348.20759999999996</v>
      </c>
      <c r="F33" s="75">
        <f>E33*1.313</f>
        <v>457.19657879999994</v>
      </c>
      <c r="G33" s="13">
        <v>550.38</v>
      </c>
      <c r="H33" s="13">
        <f t="shared" si="0"/>
        <v>611.08691399999998</v>
      </c>
      <c r="I33" s="13">
        <v>571.42999999999995</v>
      </c>
      <c r="J33" s="168">
        <f t="shared" si="1"/>
        <v>613.6586769999999</v>
      </c>
      <c r="K33" s="197">
        <f t="shared" si="5"/>
        <v>688.52503559399986</v>
      </c>
      <c r="L33" s="197">
        <f t="shared" si="2"/>
        <v>741.12834831338148</v>
      </c>
      <c r="M33" s="197">
        <f t="shared" si="3"/>
        <v>755.06156126167298</v>
      </c>
      <c r="N33" s="176">
        <f t="shared" si="4"/>
        <v>45303.693675700379</v>
      </c>
      <c r="O33" s="50"/>
    </row>
    <row r="34" spans="1:23" x14ac:dyDescent="0.2">
      <c r="A34" s="30"/>
      <c r="B34" s="73">
        <v>3</v>
      </c>
      <c r="C34" s="4">
        <v>40</v>
      </c>
      <c r="D34" s="192">
        <v>8</v>
      </c>
      <c r="E34" s="75">
        <v>423.07486</v>
      </c>
      <c r="F34" s="75">
        <f>E34*1.313</f>
        <v>555.49729117999993</v>
      </c>
      <c r="G34" s="13">
        <v>668.71</v>
      </c>
      <c r="H34" s="13">
        <f t="shared" si="0"/>
        <v>742.46871299999998</v>
      </c>
      <c r="I34" s="13">
        <v>794</v>
      </c>
      <c r="J34" s="168">
        <f t="shared" si="1"/>
        <v>852.67660000000001</v>
      </c>
      <c r="K34" s="197">
        <f t="shared" si="5"/>
        <v>956.70314519999999</v>
      </c>
      <c r="L34" s="197">
        <f t="shared" si="2"/>
        <v>1029.7952654932801</v>
      </c>
      <c r="M34" s="197">
        <f t="shared" si="3"/>
        <v>1049.1554164845536</v>
      </c>
      <c r="N34" s="176">
        <f t="shared" si="4"/>
        <v>100718.91998251714</v>
      </c>
      <c r="O34" s="50"/>
    </row>
    <row r="35" spans="1:23" x14ac:dyDescent="0.2">
      <c r="A35" s="30"/>
      <c r="B35" s="73">
        <v>3</v>
      </c>
      <c r="C35" s="4">
        <v>80</v>
      </c>
      <c r="D35" s="192">
        <v>39</v>
      </c>
      <c r="E35" s="75">
        <v>658.11499000000003</v>
      </c>
      <c r="F35" s="75">
        <f>E35*1.313</f>
        <v>864.10498186999996</v>
      </c>
      <c r="G35" s="13">
        <v>810</v>
      </c>
      <c r="H35" s="13">
        <f t="shared" si="0"/>
        <v>899.34300000000007</v>
      </c>
      <c r="I35" s="13">
        <v>962</v>
      </c>
      <c r="J35" s="168">
        <f t="shared" si="1"/>
        <v>1033.0917999999999</v>
      </c>
      <c r="K35" s="197">
        <f t="shared" si="5"/>
        <v>1159.1289995999998</v>
      </c>
      <c r="L35" s="197">
        <f t="shared" si="2"/>
        <v>1247.6864551694398</v>
      </c>
      <c r="M35" s="197">
        <f t="shared" si="3"/>
        <v>1271.1429605266251</v>
      </c>
      <c r="N35" s="176">
        <f t="shared" si="4"/>
        <v>594894.9055264605</v>
      </c>
      <c r="O35" s="50"/>
    </row>
    <row r="36" spans="1:23" x14ac:dyDescent="0.2">
      <c r="A36" s="30"/>
      <c r="B36" s="73">
        <v>3</v>
      </c>
      <c r="C36" s="4">
        <v>150</v>
      </c>
      <c r="D36" s="192">
        <v>16</v>
      </c>
      <c r="E36" s="75">
        <v>870.51900000000001</v>
      </c>
      <c r="F36" s="75">
        <f>E36*1.313</f>
        <v>1142.9914469999999</v>
      </c>
      <c r="G36" s="13">
        <v>1375.93</v>
      </c>
      <c r="H36" s="13">
        <f t="shared" si="0"/>
        <v>1527.6950790000001</v>
      </c>
      <c r="I36" s="13">
        <v>1635</v>
      </c>
      <c r="J36" s="168">
        <f t="shared" si="1"/>
        <v>1755.8264999999999</v>
      </c>
      <c r="K36" s="197">
        <f t="shared" si="5"/>
        <v>1970.0373329999998</v>
      </c>
      <c r="L36" s="197">
        <f t="shared" si="2"/>
        <v>2120.5481852411999</v>
      </c>
      <c r="M36" s="197">
        <f t="shared" si="3"/>
        <v>2160.4144911237345</v>
      </c>
      <c r="N36" s="176">
        <f t="shared" si="4"/>
        <v>414799.58229575702</v>
      </c>
      <c r="O36" s="50"/>
    </row>
    <row r="37" spans="1:23" x14ac:dyDescent="0.2">
      <c r="A37" s="76" t="s">
        <v>11</v>
      </c>
      <c r="B37" s="73"/>
      <c r="C37" s="4"/>
      <c r="D37" s="192">
        <v>17</v>
      </c>
      <c r="E37" s="75">
        <v>1653.9861000000001</v>
      </c>
      <c r="F37" s="75">
        <f>E37*1.313</f>
        <v>2171.6837492999998</v>
      </c>
      <c r="G37" s="13">
        <v>2613</v>
      </c>
      <c r="H37" s="13">
        <f t="shared" si="0"/>
        <v>2901.2139000000002</v>
      </c>
      <c r="I37" s="13">
        <v>3104.07</v>
      </c>
      <c r="J37" s="168">
        <f t="shared" si="1"/>
        <v>3333.4607730000002</v>
      </c>
      <c r="K37" s="197">
        <f t="shared" si="5"/>
        <v>3740.1429873060001</v>
      </c>
      <c r="L37" s="197">
        <f t="shared" si="2"/>
        <v>4025.8899115361787</v>
      </c>
      <c r="M37" s="197">
        <f t="shared" si="3"/>
        <v>4101.5766418730582</v>
      </c>
      <c r="N37" s="176">
        <f t="shared" si="4"/>
        <v>836721.63494210388</v>
      </c>
      <c r="O37" s="51">
        <f>N33+N34+N35+N36+N37</f>
        <v>1992438.736422539</v>
      </c>
    </row>
    <row r="38" spans="1:23" x14ac:dyDescent="0.2">
      <c r="A38" s="30"/>
      <c r="B38" s="73"/>
      <c r="C38" s="4"/>
      <c r="D38" s="192"/>
      <c r="E38" s="75"/>
      <c r="F38" s="75"/>
      <c r="G38" s="13"/>
      <c r="H38" s="13"/>
      <c r="I38" s="13"/>
      <c r="J38" s="168"/>
      <c r="K38" s="197"/>
      <c r="L38" s="197">
        <f t="shared" si="2"/>
        <v>0</v>
      </c>
      <c r="M38" s="197">
        <f t="shared" si="3"/>
        <v>0</v>
      </c>
      <c r="N38" s="176">
        <f t="shared" si="4"/>
        <v>0</v>
      </c>
      <c r="O38" s="52"/>
    </row>
    <row r="39" spans="1:23" x14ac:dyDescent="0.2">
      <c r="A39" s="76" t="s">
        <v>13</v>
      </c>
      <c r="B39" s="73"/>
      <c r="C39" s="4"/>
      <c r="D39" s="192"/>
      <c r="E39" s="75"/>
      <c r="F39" s="75"/>
      <c r="G39" s="13"/>
      <c r="H39" s="13"/>
      <c r="I39" s="13"/>
      <c r="J39" s="168"/>
      <c r="K39" s="197"/>
      <c r="L39" s="197">
        <f t="shared" si="2"/>
        <v>0</v>
      </c>
      <c r="M39" s="197">
        <f t="shared" si="3"/>
        <v>0</v>
      </c>
      <c r="N39" s="176">
        <f t="shared" si="4"/>
        <v>0</v>
      </c>
      <c r="O39" s="52"/>
    </row>
    <row r="40" spans="1:23" x14ac:dyDescent="0.2">
      <c r="A40" s="30"/>
      <c r="B40" s="73">
        <v>1</v>
      </c>
      <c r="C40" s="4">
        <v>80</v>
      </c>
      <c r="D40" s="192">
        <v>0</v>
      </c>
      <c r="E40" s="75">
        <v>348.20759999999996</v>
      </c>
      <c r="F40" s="75">
        <f>E40*1.313</f>
        <v>457.19657879999994</v>
      </c>
      <c r="G40" s="13">
        <v>550.38</v>
      </c>
      <c r="H40" s="13">
        <f t="shared" si="0"/>
        <v>611.08691399999998</v>
      </c>
      <c r="I40" s="13">
        <v>571.42999999999995</v>
      </c>
      <c r="J40" s="168">
        <f t="shared" si="1"/>
        <v>613.6586769999999</v>
      </c>
      <c r="K40" s="197">
        <f t="shared" si="5"/>
        <v>688.52503559399986</v>
      </c>
      <c r="L40" s="197">
        <f t="shared" si="2"/>
        <v>741.12834831338148</v>
      </c>
      <c r="M40" s="197">
        <f t="shared" si="3"/>
        <v>755.06156126167298</v>
      </c>
      <c r="N40" s="176">
        <f t="shared" si="4"/>
        <v>0</v>
      </c>
      <c r="O40" s="52"/>
    </row>
    <row r="41" spans="1:23" x14ac:dyDescent="0.2">
      <c r="A41" s="30"/>
      <c r="B41" s="73">
        <v>3</v>
      </c>
      <c r="C41" s="4">
        <v>80</v>
      </c>
      <c r="D41" s="192">
        <v>1</v>
      </c>
      <c r="E41" s="75">
        <v>658.11499000000003</v>
      </c>
      <c r="F41" s="75">
        <v>1082.4000000000001</v>
      </c>
      <c r="G41" s="13">
        <v>736</v>
      </c>
      <c r="H41" s="13">
        <f t="shared" si="0"/>
        <v>817.18079999999998</v>
      </c>
      <c r="I41" s="13">
        <v>874</v>
      </c>
      <c r="J41" s="168">
        <f t="shared" si="1"/>
        <v>938.58860000000004</v>
      </c>
      <c r="K41" s="197">
        <f t="shared" si="5"/>
        <v>1053.0964091999999</v>
      </c>
      <c r="L41" s="197">
        <f t="shared" si="2"/>
        <v>1133.5529748628799</v>
      </c>
      <c r="M41" s="197">
        <f t="shared" si="3"/>
        <v>1154.8637707903019</v>
      </c>
      <c r="N41" s="176">
        <f t="shared" si="4"/>
        <v>13858.365249483624</v>
      </c>
      <c r="O41" s="52"/>
    </row>
    <row r="42" spans="1:23" x14ac:dyDescent="0.2">
      <c r="A42" s="30"/>
      <c r="B42" s="73">
        <v>3</v>
      </c>
      <c r="C42" s="4">
        <v>150</v>
      </c>
      <c r="D42" s="192">
        <v>0</v>
      </c>
      <c r="E42" s="75">
        <v>870.51900000000001</v>
      </c>
      <c r="F42" s="75">
        <f>E42*1.313</f>
        <v>1142.9914469999999</v>
      </c>
      <c r="G42" s="13">
        <v>1363</v>
      </c>
      <c r="H42" s="13">
        <f t="shared" si="0"/>
        <v>1513.3389000000002</v>
      </c>
      <c r="I42" s="13">
        <v>1619</v>
      </c>
      <c r="J42" s="168">
        <f t="shared" si="1"/>
        <v>1738.6441</v>
      </c>
      <c r="K42" s="197">
        <f t="shared" si="5"/>
        <v>1950.7586802000001</v>
      </c>
      <c r="L42" s="197">
        <f t="shared" si="2"/>
        <v>2099.79664336728</v>
      </c>
      <c r="M42" s="197">
        <f t="shared" si="3"/>
        <v>2139.2728202625849</v>
      </c>
      <c r="N42" s="176">
        <f t="shared" si="4"/>
        <v>0</v>
      </c>
      <c r="O42" s="50"/>
    </row>
    <row r="43" spans="1:23" ht="13.5" thickBot="1" x14ac:dyDescent="0.25">
      <c r="A43" s="76" t="s">
        <v>11</v>
      </c>
      <c r="B43" s="79"/>
      <c r="C43" s="80"/>
      <c r="D43" s="194">
        <v>3</v>
      </c>
      <c r="E43" s="81">
        <v>1653.9861000000001</v>
      </c>
      <c r="F43" s="81">
        <f>E43*1.313</f>
        <v>2171.6837492999998</v>
      </c>
      <c r="G43" s="82">
        <v>2613</v>
      </c>
      <c r="H43" s="13">
        <f t="shared" si="0"/>
        <v>2901.2139000000002</v>
      </c>
      <c r="I43" s="14">
        <v>3104.07</v>
      </c>
      <c r="J43" s="169">
        <f t="shared" si="1"/>
        <v>3333.4607730000002</v>
      </c>
      <c r="K43" s="216">
        <f>J43*12.2/100+J43</f>
        <v>3740.1429873060001</v>
      </c>
      <c r="L43" s="226">
        <f>K43*1.0764</f>
        <v>4025.8899115361787</v>
      </c>
      <c r="M43" s="197">
        <f t="shared" si="3"/>
        <v>4101.5766418730582</v>
      </c>
      <c r="N43" s="227">
        <f>M43*D43*12</f>
        <v>147656.75910743009</v>
      </c>
      <c r="O43" s="53">
        <f>N40+N41+N42+N43</f>
        <v>161515.1243569137</v>
      </c>
    </row>
    <row r="44" spans="1:23" ht="13.5" thickBot="1" x14ac:dyDescent="0.25">
      <c r="A44" s="30"/>
      <c r="B44" s="16"/>
      <c r="C44" s="16"/>
      <c r="D44" s="16"/>
      <c r="E44" s="16"/>
      <c r="F44" s="26" t="s">
        <v>14</v>
      </c>
      <c r="G44" s="26"/>
      <c r="H44" s="34"/>
      <c r="I44" s="15"/>
      <c r="J44" s="15"/>
      <c r="K44" s="15"/>
      <c r="L44" s="15"/>
      <c r="M44" s="15"/>
      <c r="N44" s="150"/>
      <c r="O44" s="53">
        <f>O43+O37+O30+O10</f>
        <v>6100893.6489476217</v>
      </c>
    </row>
    <row r="45" spans="1:23" ht="13.5" thickBot="1" x14ac:dyDescent="0.25">
      <c r="A45" s="30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50"/>
      <c r="O45" s="16"/>
    </row>
    <row r="46" spans="1:23" ht="23.25" thickBot="1" x14ac:dyDescent="0.25">
      <c r="A46" s="83"/>
      <c r="B46" s="84" t="s">
        <v>45</v>
      </c>
      <c r="C46" s="85" t="s">
        <v>15</v>
      </c>
      <c r="D46" s="86" t="s">
        <v>40</v>
      </c>
      <c r="E46" s="87" t="s">
        <v>93</v>
      </c>
      <c r="F46" s="88" t="s">
        <v>94</v>
      </c>
      <c r="G46" s="88" t="s">
        <v>66</v>
      </c>
      <c r="H46" s="32" t="s">
        <v>67</v>
      </c>
      <c r="I46" s="177" t="s">
        <v>74</v>
      </c>
      <c r="J46" s="198" t="s">
        <v>88</v>
      </c>
      <c r="K46" s="198" t="s">
        <v>84</v>
      </c>
      <c r="L46" s="17" t="s">
        <v>14</v>
      </c>
      <c r="M46" s="5"/>
      <c r="N46" s="154"/>
    </row>
    <row r="47" spans="1:23" x14ac:dyDescent="0.2">
      <c r="A47" s="89" t="s">
        <v>49</v>
      </c>
      <c r="B47" s="90"/>
      <c r="C47" s="5"/>
      <c r="D47" s="91"/>
      <c r="E47" s="155"/>
      <c r="F47" s="92"/>
      <c r="G47" s="93"/>
      <c r="I47" s="178"/>
      <c r="J47" s="199"/>
      <c r="K47" s="199"/>
      <c r="L47" s="18"/>
      <c r="M47" s="5"/>
      <c r="N47" s="154"/>
    </row>
    <row r="48" spans="1:23" x14ac:dyDescent="0.2">
      <c r="A48" s="94" t="s">
        <v>36</v>
      </c>
      <c r="B48" s="95">
        <v>559</v>
      </c>
      <c r="C48" s="96">
        <v>50</v>
      </c>
      <c r="D48" s="97" t="s">
        <v>41</v>
      </c>
      <c r="E48" s="155">
        <v>0.81</v>
      </c>
      <c r="F48" s="20">
        <f>E48*1.0188</f>
        <v>0.82522799999999996</v>
      </c>
      <c r="G48" s="98">
        <f>F48*111.03/100</f>
        <v>0.91625064839999992</v>
      </c>
      <c r="H48" s="41">
        <f>G48*5.5/100+G48</f>
        <v>0.96664443406199996</v>
      </c>
      <c r="I48" s="179">
        <f>H48*5.5/100+H48</f>
        <v>1.0198098779354099</v>
      </c>
      <c r="J48" s="200">
        <f>I48*6.3/100+I48</f>
        <v>1.0840579002453408</v>
      </c>
      <c r="K48" s="200">
        <f>J48*1.06</f>
        <v>1.1491013742600613</v>
      </c>
      <c r="L48" s="240">
        <f>F48*C48*12*B48</f>
        <v>276781.47119999997</v>
      </c>
      <c r="M48" s="114"/>
      <c r="N48" s="155"/>
      <c r="O48" s="54"/>
      <c r="Q48" s="1"/>
      <c r="W48" s="6"/>
    </row>
    <row r="49" spans="1:23" x14ac:dyDescent="0.2">
      <c r="A49" s="99" t="s">
        <v>37</v>
      </c>
      <c r="B49" s="95">
        <v>500</v>
      </c>
      <c r="C49" s="100">
        <v>299</v>
      </c>
      <c r="D49" s="101" t="s">
        <v>42</v>
      </c>
      <c r="E49" s="155">
        <v>1.1100000000000001</v>
      </c>
      <c r="F49" s="20">
        <f t="shared" ref="F49:F80" si="7">E49*1.0188</f>
        <v>1.130868</v>
      </c>
      <c r="G49" s="98">
        <v>0.85</v>
      </c>
      <c r="H49" s="41">
        <f>G49*6.5/100+G49</f>
        <v>0.90525</v>
      </c>
      <c r="I49" s="179">
        <v>0.97</v>
      </c>
      <c r="J49" s="200">
        <f>I49*7.3/100+I49</f>
        <v>1.04081</v>
      </c>
      <c r="K49" s="200">
        <f>J49*1.07</f>
        <v>1.1136667</v>
      </c>
      <c r="L49" s="240">
        <f>B49*C49*12*F49</f>
        <v>2028777.192</v>
      </c>
      <c r="M49" s="114"/>
      <c r="N49" s="155"/>
    </row>
    <row r="50" spans="1:23" x14ac:dyDescent="0.2">
      <c r="A50" s="99" t="s">
        <v>38</v>
      </c>
      <c r="B50" s="95">
        <v>380</v>
      </c>
      <c r="C50" s="100">
        <v>649</v>
      </c>
      <c r="D50" s="182" t="s">
        <v>43</v>
      </c>
      <c r="E50" s="155">
        <v>1.35</v>
      </c>
      <c r="F50" s="20">
        <f t="shared" si="7"/>
        <v>1.37538</v>
      </c>
      <c r="G50" s="98">
        <v>0.97</v>
      </c>
      <c r="H50" s="41">
        <f>G50*107/100</f>
        <v>1.0378999999999998</v>
      </c>
      <c r="I50" s="179">
        <v>1.1200000000000001</v>
      </c>
      <c r="J50" s="200">
        <f>I50*12.2/100+I50</f>
        <v>1.25664</v>
      </c>
      <c r="K50" s="200">
        <f>J50*1.0764</f>
        <v>1.352647296</v>
      </c>
      <c r="L50" s="240">
        <f>B50*C50*12*F50</f>
        <v>4070354.5872</v>
      </c>
      <c r="M50" s="114"/>
      <c r="N50" s="155"/>
    </row>
    <row r="51" spans="1:23" x14ac:dyDescent="0.2">
      <c r="A51" s="99" t="s">
        <v>39</v>
      </c>
      <c r="B51" s="95">
        <v>100</v>
      </c>
      <c r="C51" s="100">
        <v>513</v>
      </c>
      <c r="D51" s="182" t="s">
        <v>44</v>
      </c>
      <c r="E51" s="155">
        <v>1.61</v>
      </c>
      <c r="F51" s="20">
        <f>E51*1.0188</f>
        <v>1.6402680000000001</v>
      </c>
      <c r="G51" s="98">
        <v>1.1599999999999999</v>
      </c>
      <c r="H51" s="41">
        <f>G51*107/100</f>
        <v>1.2411999999999999</v>
      </c>
      <c r="I51" s="179">
        <v>1.33</v>
      </c>
      <c r="J51" s="200">
        <f>I51*12.2/100+I51</f>
        <v>1.4922600000000001</v>
      </c>
      <c r="K51" s="200">
        <f>J51*1.0764</f>
        <v>1.6062686640000001</v>
      </c>
      <c r="L51" s="240">
        <f>B51*C51*12*F51</f>
        <v>1009748.9808</v>
      </c>
      <c r="M51" s="114"/>
      <c r="N51" s="155"/>
    </row>
    <row r="52" spans="1:23" ht="15" x14ac:dyDescent="0.25">
      <c r="A52" s="99"/>
      <c r="B52" s="95"/>
      <c r="C52" s="100">
        <f>SUM(C48:C51)</f>
        <v>1511</v>
      </c>
      <c r="D52" s="101"/>
      <c r="E52" s="156"/>
      <c r="F52" s="20">
        <f t="shared" si="7"/>
        <v>0</v>
      </c>
      <c r="G52" s="7"/>
      <c r="I52" s="184"/>
      <c r="J52" s="200"/>
      <c r="K52" s="200"/>
      <c r="L52" s="241">
        <f>SUM(L48:L51)</f>
        <v>7385662.2311999993</v>
      </c>
      <c r="M52" s="223"/>
      <c r="N52" s="156"/>
    </row>
    <row r="53" spans="1:23" x14ac:dyDescent="0.2">
      <c r="A53" s="99"/>
      <c r="B53" s="95"/>
      <c r="C53" s="100"/>
      <c r="D53" s="101"/>
      <c r="E53" s="156"/>
      <c r="F53" s="20">
        <f t="shared" si="7"/>
        <v>0</v>
      </c>
      <c r="G53" s="102"/>
      <c r="H53" s="42"/>
      <c r="I53" s="184"/>
      <c r="J53" s="200"/>
      <c r="K53" s="200"/>
      <c r="L53" s="241"/>
      <c r="M53" s="223"/>
      <c r="N53" s="156"/>
    </row>
    <row r="54" spans="1:23" x14ac:dyDescent="0.2">
      <c r="A54" s="103" t="s">
        <v>46</v>
      </c>
      <c r="B54" s="104"/>
      <c r="C54" s="105"/>
      <c r="D54" s="101"/>
      <c r="E54" s="156"/>
      <c r="F54" s="20">
        <f t="shared" si="7"/>
        <v>0</v>
      </c>
      <c r="G54" s="102"/>
      <c r="H54" s="42"/>
      <c r="I54" s="184"/>
      <c r="J54" s="200"/>
      <c r="K54" s="200"/>
      <c r="L54" s="241"/>
      <c r="M54" s="223"/>
      <c r="N54" s="156"/>
    </row>
    <row r="55" spans="1:23" x14ac:dyDescent="0.2">
      <c r="A55" s="94" t="s">
        <v>36</v>
      </c>
      <c r="B55" s="104">
        <v>311</v>
      </c>
      <c r="C55" s="96">
        <v>50</v>
      </c>
      <c r="D55" s="97" t="s">
        <v>41</v>
      </c>
      <c r="E55" s="155">
        <v>0.88</v>
      </c>
      <c r="F55" s="20">
        <f t="shared" si="7"/>
        <v>0.8965439999999999</v>
      </c>
      <c r="G55" s="106">
        <v>0.7</v>
      </c>
      <c r="H55" s="43">
        <v>0.74</v>
      </c>
      <c r="I55" s="180">
        <v>0.78</v>
      </c>
      <c r="J55" s="200">
        <f>I55*6.3/100+I55</f>
        <v>0.82913999999999999</v>
      </c>
      <c r="K55" s="200">
        <f>J55*1.06</f>
        <v>0.87888840000000001</v>
      </c>
      <c r="L55" s="240">
        <f>B55*C55*12*F55</f>
        <v>167295.11039999998</v>
      </c>
      <c r="M55" s="114"/>
      <c r="N55" s="155"/>
    </row>
    <row r="56" spans="1:23" x14ac:dyDescent="0.2">
      <c r="A56" s="99" t="s">
        <v>37</v>
      </c>
      <c r="B56" s="104">
        <v>311</v>
      </c>
      <c r="C56" s="100">
        <v>299</v>
      </c>
      <c r="D56" s="101" t="s">
        <v>42</v>
      </c>
      <c r="E56" s="155">
        <v>1.07</v>
      </c>
      <c r="F56" s="20">
        <f t="shared" si="7"/>
        <v>1.0901160000000001</v>
      </c>
      <c r="G56" s="106">
        <f>+F56*1.1356</f>
        <v>1.2379357296</v>
      </c>
      <c r="H56" s="42">
        <v>0.91</v>
      </c>
      <c r="I56" s="180">
        <v>0.93</v>
      </c>
      <c r="J56" s="200">
        <f>I56*7.3/100+I56</f>
        <v>0.99789000000000005</v>
      </c>
      <c r="K56" s="200">
        <f>J56*1.07</f>
        <v>1.0677423000000001</v>
      </c>
      <c r="L56" s="240">
        <f t="shared" ref="L56:L58" si="8">B56*C56*12*F56</f>
        <v>1216425.5606880002</v>
      </c>
      <c r="M56" s="114"/>
      <c r="N56" s="155"/>
    </row>
    <row r="57" spans="1:23" x14ac:dyDescent="0.2">
      <c r="A57" s="99" t="s">
        <v>38</v>
      </c>
      <c r="B57" s="104">
        <v>25</v>
      </c>
      <c r="C57" s="100">
        <v>249</v>
      </c>
      <c r="D57" s="101" t="s">
        <v>43</v>
      </c>
      <c r="E57" s="155">
        <v>1.41</v>
      </c>
      <c r="F57" s="20">
        <f t="shared" si="7"/>
        <v>1.4365079999999999</v>
      </c>
      <c r="G57" s="106">
        <v>1.02</v>
      </c>
      <c r="H57" s="42">
        <v>1.0900000000000001</v>
      </c>
      <c r="I57" s="180">
        <v>1.1705510000000001</v>
      </c>
      <c r="J57" s="200">
        <f>I57*12.2/100+I57</f>
        <v>1.3133582220000002</v>
      </c>
      <c r="K57" s="200">
        <f>J57*1.0764</f>
        <v>1.4136987901608002</v>
      </c>
      <c r="L57" s="240">
        <f t="shared" si="8"/>
        <v>107307.1476</v>
      </c>
      <c r="M57" s="114"/>
      <c r="N57" s="155"/>
    </row>
    <row r="58" spans="1:23" x14ac:dyDescent="0.2">
      <c r="A58" s="99" t="s">
        <v>39</v>
      </c>
      <c r="B58" s="104">
        <v>0</v>
      </c>
      <c r="C58" s="100">
        <v>602</v>
      </c>
      <c r="D58" s="101" t="s">
        <v>44</v>
      </c>
      <c r="E58" s="155">
        <v>1.71</v>
      </c>
      <c r="F58" s="20">
        <f t="shared" si="7"/>
        <v>1.7421479999999998</v>
      </c>
      <c r="G58" s="106">
        <f>+F58*1.103</f>
        <v>1.9215892439999998</v>
      </c>
      <c r="H58" s="42">
        <v>1.32</v>
      </c>
      <c r="I58" s="180">
        <v>1.417548</v>
      </c>
      <c r="J58" s="200">
        <f>I58*12.2/100+I58</f>
        <v>1.5904888559999999</v>
      </c>
      <c r="K58" s="200">
        <f>J58*1.0764</f>
        <v>1.7120022045984</v>
      </c>
      <c r="L58" s="240">
        <f t="shared" si="8"/>
        <v>0</v>
      </c>
      <c r="M58" s="114"/>
      <c r="N58" s="155"/>
    </row>
    <row r="59" spans="1:23" x14ac:dyDescent="0.2">
      <c r="A59" s="99"/>
      <c r="B59" s="104"/>
      <c r="C59" s="100">
        <f>SUM(C55:C58)</f>
        <v>1200</v>
      </c>
      <c r="D59" s="101"/>
      <c r="E59" s="157"/>
      <c r="F59" s="20">
        <f t="shared" si="7"/>
        <v>0</v>
      </c>
      <c r="G59" s="102"/>
      <c r="H59" s="42"/>
      <c r="I59" s="180"/>
      <c r="J59" s="200"/>
      <c r="K59" s="200"/>
      <c r="L59" s="241">
        <f>SUM(L55:L58)</f>
        <v>1491027.8186880001</v>
      </c>
      <c r="M59" s="223"/>
      <c r="N59" s="157"/>
    </row>
    <row r="60" spans="1:23" x14ac:dyDescent="0.2">
      <c r="A60" s="103" t="s">
        <v>47</v>
      </c>
      <c r="B60" s="104"/>
      <c r="C60" s="105"/>
      <c r="D60" s="101"/>
      <c r="E60" s="156"/>
      <c r="F60" s="20">
        <f t="shared" si="7"/>
        <v>0</v>
      </c>
      <c r="G60" s="102"/>
      <c r="H60" s="42"/>
      <c r="I60" s="180"/>
      <c r="J60" s="200"/>
      <c r="K60" s="200"/>
      <c r="L60" s="241"/>
      <c r="M60" s="223"/>
      <c r="N60" s="156"/>
      <c r="O60" s="55"/>
    </row>
    <row r="61" spans="1:23" x14ac:dyDescent="0.2">
      <c r="A61" s="94" t="s">
        <v>36</v>
      </c>
      <c r="B61" s="104">
        <v>1</v>
      </c>
      <c r="C61" s="100">
        <v>50</v>
      </c>
      <c r="D61" s="97" t="s">
        <v>41</v>
      </c>
      <c r="E61" s="155">
        <v>0.87</v>
      </c>
      <c r="F61" s="20">
        <f>E61*1.0188</f>
        <v>0.88635599999999992</v>
      </c>
      <c r="G61" s="102">
        <v>0.69</v>
      </c>
      <c r="H61" s="42">
        <v>0.73</v>
      </c>
      <c r="I61" s="180">
        <v>0.77</v>
      </c>
      <c r="J61" s="200">
        <f>I61*6.3/100+I61</f>
        <v>0.81851000000000007</v>
      </c>
      <c r="K61" s="200">
        <f>J61*6.3/100+J61</f>
        <v>0.87007613000000006</v>
      </c>
      <c r="L61" s="240">
        <f>B61*C61*12*F61</f>
        <v>531.81359999999995</v>
      </c>
      <c r="M61" s="114"/>
      <c r="N61" s="155"/>
      <c r="Q61" s="1"/>
      <c r="W61" s="6"/>
    </row>
    <row r="62" spans="1:23" x14ac:dyDescent="0.2">
      <c r="A62" s="99" t="s">
        <v>37</v>
      </c>
      <c r="B62" s="104">
        <v>0</v>
      </c>
      <c r="C62" s="100">
        <v>299</v>
      </c>
      <c r="D62" s="101" t="s">
        <v>42</v>
      </c>
      <c r="E62" s="155">
        <v>1.1200000000000001</v>
      </c>
      <c r="F62" s="20">
        <f t="shared" ref="F62:F64" si="9">E62*1.0188</f>
        <v>1.1410560000000001</v>
      </c>
      <c r="G62" s="102">
        <v>0.85</v>
      </c>
      <c r="H62" s="42">
        <v>0.91</v>
      </c>
      <c r="I62" s="180">
        <v>0.97</v>
      </c>
      <c r="J62" s="200">
        <f>I62*7.3/100+I62</f>
        <v>1.04081</v>
      </c>
      <c r="K62" s="200">
        <f>J62*7.3/100+J62</f>
        <v>1.1167891299999999</v>
      </c>
      <c r="L62" s="240">
        <f t="shared" ref="L62:L64" si="10">B62*C62*12*K62</f>
        <v>0</v>
      </c>
      <c r="M62" s="114"/>
      <c r="N62" s="155"/>
    </row>
    <row r="63" spans="1:23" x14ac:dyDescent="0.2">
      <c r="A63" s="99" t="s">
        <v>38</v>
      </c>
      <c r="B63" s="104">
        <v>0</v>
      </c>
      <c r="C63" s="100">
        <v>249</v>
      </c>
      <c r="D63" s="101" t="s">
        <v>43</v>
      </c>
      <c r="E63" s="155">
        <v>1.5</v>
      </c>
      <c r="F63" s="20">
        <f t="shared" si="9"/>
        <v>1.5282</v>
      </c>
      <c r="G63" s="102">
        <v>1.0900000000000001</v>
      </c>
      <c r="H63" s="42">
        <v>1.1599999999999999</v>
      </c>
      <c r="I63" s="180">
        <v>1.2457239999999998</v>
      </c>
      <c r="J63" s="200">
        <f>I63*12.2/100+I63</f>
        <v>1.3977023279999998</v>
      </c>
      <c r="K63" s="200">
        <f>J63*1.0764</f>
        <v>1.5044867858591999</v>
      </c>
      <c r="L63" s="240">
        <f t="shared" si="10"/>
        <v>0</v>
      </c>
      <c r="M63" s="114"/>
      <c r="N63" s="155"/>
    </row>
    <row r="64" spans="1:23" x14ac:dyDescent="0.2">
      <c r="A64" s="99" t="s">
        <v>39</v>
      </c>
      <c r="B64" s="104">
        <v>0</v>
      </c>
      <c r="C64" s="100">
        <v>602</v>
      </c>
      <c r="D64" s="101" t="s">
        <v>44</v>
      </c>
      <c r="E64" s="156">
        <v>1.79</v>
      </c>
      <c r="F64" s="20">
        <f t="shared" si="9"/>
        <v>1.8236519999999998</v>
      </c>
      <c r="G64" s="102">
        <v>1.29</v>
      </c>
      <c r="H64" s="42">
        <v>1.38</v>
      </c>
      <c r="I64" s="180">
        <v>1.4819819999999999</v>
      </c>
      <c r="J64" s="200">
        <f>I64*12.2/100+I64</f>
        <v>1.6627838039999998</v>
      </c>
      <c r="K64" s="200">
        <f>J64*1.0764</f>
        <v>1.7898204866255998</v>
      </c>
      <c r="L64" s="240">
        <f t="shared" si="10"/>
        <v>0</v>
      </c>
      <c r="M64" s="114"/>
      <c r="N64" s="155"/>
    </row>
    <row r="65" spans="1:24" x14ac:dyDescent="0.2">
      <c r="A65" s="99"/>
      <c r="B65" s="104"/>
      <c r="C65" s="100"/>
      <c r="D65" s="101"/>
      <c r="E65" s="156"/>
      <c r="F65" s="20">
        <f t="shared" si="7"/>
        <v>0</v>
      </c>
      <c r="G65" s="102"/>
      <c r="H65" s="42"/>
      <c r="I65" s="183"/>
      <c r="J65" s="201"/>
      <c r="K65" s="201"/>
      <c r="L65" s="241">
        <f>SUM(L61:L64)</f>
        <v>531.81359999999995</v>
      </c>
      <c r="M65" s="223"/>
      <c r="N65" s="156"/>
    </row>
    <row r="66" spans="1:24" x14ac:dyDescent="0.2">
      <c r="A66" s="103" t="s">
        <v>59</v>
      </c>
      <c r="B66" s="104"/>
      <c r="C66" s="100"/>
      <c r="D66" s="101"/>
      <c r="E66" s="156"/>
      <c r="F66" s="20">
        <f t="shared" si="7"/>
        <v>0</v>
      </c>
      <c r="G66" s="102"/>
      <c r="H66" s="42"/>
      <c r="I66" s="183"/>
      <c r="J66" s="201"/>
      <c r="K66" s="201"/>
      <c r="L66" s="241"/>
      <c r="M66" s="223"/>
      <c r="N66" s="156"/>
    </row>
    <row r="67" spans="1:24" x14ac:dyDescent="0.2">
      <c r="A67" s="99"/>
      <c r="B67" s="104">
        <v>21</v>
      </c>
      <c r="C67" s="100">
        <v>467758</v>
      </c>
      <c r="D67" s="101"/>
      <c r="E67" s="156">
        <v>1.1000000000000001</v>
      </c>
      <c r="F67" s="20">
        <f>E67*1.0188</f>
        <v>1.1206800000000001</v>
      </c>
      <c r="G67" s="102">
        <f>F67*1.103</f>
        <v>1.23611004</v>
      </c>
      <c r="H67" s="41">
        <f>G67*7/100+G67</f>
        <v>1.3226377428</v>
      </c>
      <c r="I67" s="179">
        <v>0.91</v>
      </c>
      <c r="J67" s="200">
        <f>I67*12.2/100+I67</f>
        <v>1.02102</v>
      </c>
      <c r="K67" s="200">
        <f>J67*1.0764</f>
        <v>1.0990259280000001</v>
      </c>
      <c r="L67" s="241">
        <f>F67*C67</f>
        <v>524207.03544000007</v>
      </c>
      <c r="M67" s="223"/>
      <c r="N67" s="156"/>
    </row>
    <row r="68" spans="1:24" x14ac:dyDescent="0.2">
      <c r="A68" s="103" t="s">
        <v>60</v>
      </c>
      <c r="B68" s="104"/>
      <c r="C68" s="100"/>
      <c r="D68" s="101"/>
      <c r="E68" s="156">
        <v>0</v>
      </c>
      <c r="F68" s="20">
        <f t="shared" si="7"/>
        <v>0</v>
      </c>
      <c r="G68" s="102"/>
      <c r="H68" s="42"/>
      <c r="I68" s="179">
        <v>0</v>
      </c>
      <c r="J68" s="200"/>
      <c r="K68" s="200">
        <f t="shared" ref="K68:K80" si="11">J68*1.0764</f>
        <v>0</v>
      </c>
      <c r="L68" s="241">
        <f t="shared" ref="L68:L80" si="12">K68*C68</f>
        <v>0</v>
      </c>
      <c r="M68" s="223"/>
      <c r="N68" s="156"/>
    </row>
    <row r="69" spans="1:24" x14ac:dyDescent="0.2">
      <c r="A69" s="99"/>
      <c r="B69" s="104">
        <v>51</v>
      </c>
      <c r="C69" s="100">
        <v>1025954</v>
      </c>
      <c r="D69" s="185"/>
      <c r="E69" s="156">
        <v>1.1000000000000001</v>
      </c>
      <c r="F69" s="20">
        <f t="shared" si="7"/>
        <v>1.1206800000000001</v>
      </c>
      <c r="G69" s="102">
        <f t="shared" ref="G69:G74" si="13">F69*1.103</f>
        <v>1.23611004</v>
      </c>
      <c r="H69" s="41">
        <f>G69*7/100+G69</f>
        <v>1.3226377428</v>
      </c>
      <c r="I69" s="179">
        <v>0.91254781367999993</v>
      </c>
      <c r="J69" s="200">
        <f>I69*12.2/100+I69</f>
        <v>1.02387864694896</v>
      </c>
      <c r="K69" s="200">
        <f t="shared" si="11"/>
        <v>1.1021029755758607</v>
      </c>
      <c r="L69" s="241">
        <f>F69*C69</f>
        <v>1149766.1287200002</v>
      </c>
      <c r="M69" s="223"/>
      <c r="N69" s="156"/>
    </row>
    <row r="70" spans="1:24" x14ac:dyDescent="0.2">
      <c r="A70" s="103" t="s">
        <v>53</v>
      </c>
      <c r="B70" s="104"/>
      <c r="C70" s="100"/>
      <c r="D70" s="101"/>
      <c r="E70" s="156">
        <v>0</v>
      </c>
      <c r="F70" s="20">
        <f t="shared" si="7"/>
        <v>0</v>
      </c>
      <c r="G70" s="102"/>
      <c r="H70" s="42"/>
      <c r="I70" s="179">
        <v>0</v>
      </c>
      <c r="J70" s="200"/>
      <c r="K70" s="200">
        <f t="shared" si="11"/>
        <v>0</v>
      </c>
      <c r="L70" s="241">
        <f t="shared" si="12"/>
        <v>0</v>
      </c>
      <c r="M70" s="223"/>
      <c r="N70" s="156"/>
    </row>
    <row r="71" spans="1:24" x14ac:dyDescent="0.2">
      <c r="A71" s="99" t="s">
        <v>61</v>
      </c>
      <c r="B71" s="104">
        <v>31</v>
      </c>
      <c r="C71" s="100">
        <v>182000</v>
      </c>
      <c r="D71" s="101"/>
      <c r="E71" s="156">
        <v>1.66</v>
      </c>
      <c r="F71" s="20">
        <f>E71*1.0188</f>
        <v>1.6912079999999998</v>
      </c>
      <c r="G71" s="102">
        <f>F71*111.03/100</f>
        <v>1.8777482423999998</v>
      </c>
      <c r="H71" s="42">
        <v>1.18</v>
      </c>
      <c r="I71" s="179">
        <v>1.31</v>
      </c>
      <c r="J71" s="200">
        <f>I71*15/100+I71</f>
        <v>1.5065</v>
      </c>
      <c r="K71" s="200">
        <f>1.66</f>
        <v>1.66</v>
      </c>
      <c r="L71" s="241">
        <f>F71*C71</f>
        <v>307799.85599999997</v>
      </c>
      <c r="M71" s="223"/>
      <c r="N71" s="156"/>
      <c r="O71" s="54"/>
    </row>
    <row r="72" spans="1:24" x14ac:dyDescent="0.2">
      <c r="A72" s="99" t="s">
        <v>62</v>
      </c>
      <c r="B72" s="104">
        <v>3</v>
      </c>
      <c r="C72" s="100">
        <v>0</v>
      </c>
      <c r="D72" s="101"/>
      <c r="E72" s="156">
        <v>1.67</v>
      </c>
      <c r="F72" s="20">
        <f t="shared" si="7"/>
        <v>1.7013959999999999</v>
      </c>
      <c r="G72" s="102">
        <f t="shared" si="13"/>
        <v>1.8766397879999999</v>
      </c>
      <c r="H72" s="42">
        <v>1.19</v>
      </c>
      <c r="I72" s="179">
        <v>1.32</v>
      </c>
      <c r="J72" s="200">
        <f>I72*15/100+I72</f>
        <v>1.518</v>
      </c>
      <c r="K72" s="200">
        <f>1.67</f>
        <v>1.67</v>
      </c>
      <c r="L72" s="241">
        <f t="shared" si="12"/>
        <v>0</v>
      </c>
      <c r="M72" s="223"/>
      <c r="N72" s="156"/>
    </row>
    <row r="73" spans="1:24" x14ac:dyDescent="0.2">
      <c r="A73" s="103" t="s">
        <v>52</v>
      </c>
      <c r="B73" s="186"/>
      <c r="C73" s="187"/>
      <c r="D73" s="101"/>
      <c r="E73" s="156">
        <v>0</v>
      </c>
      <c r="F73" s="20">
        <f t="shared" si="7"/>
        <v>0</v>
      </c>
      <c r="G73" s="102"/>
      <c r="H73" s="42"/>
      <c r="I73" s="179">
        <v>0</v>
      </c>
      <c r="J73" s="200"/>
      <c r="K73" s="200">
        <f t="shared" si="11"/>
        <v>0</v>
      </c>
      <c r="L73" s="241">
        <f t="shared" si="12"/>
        <v>0</v>
      </c>
      <c r="M73" s="223"/>
      <c r="N73" s="156"/>
      <c r="Q73" s="6"/>
    </row>
    <row r="74" spans="1:24" x14ac:dyDescent="0.2">
      <c r="A74" s="99" t="s">
        <v>50</v>
      </c>
      <c r="B74" s="186">
        <v>85</v>
      </c>
      <c r="C74" s="100">
        <v>8793000</v>
      </c>
      <c r="D74" s="188"/>
      <c r="E74" s="156">
        <v>1.27</v>
      </c>
      <c r="F74" s="20">
        <f t="shared" si="7"/>
        <v>1.293876</v>
      </c>
      <c r="G74" s="102">
        <f t="shared" si="13"/>
        <v>1.4271452280000001</v>
      </c>
      <c r="H74" s="41">
        <v>0.89</v>
      </c>
      <c r="I74" s="179">
        <v>1</v>
      </c>
      <c r="J74" s="200">
        <f>I74*15/100+I74</f>
        <v>1.1499999999999999</v>
      </c>
      <c r="K74" s="200">
        <f>1.27</f>
        <v>1.27</v>
      </c>
      <c r="L74" s="241">
        <f>F74*C74</f>
        <v>11377051.668</v>
      </c>
      <c r="M74" s="223"/>
      <c r="N74" s="156"/>
    </row>
    <row r="75" spans="1:24" x14ac:dyDescent="0.2">
      <c r="A75" s="99"/>
      <c r="B75" s="186"/>
      <c r="C75" s="187"/>
      <c r="D75" s="185"/>
      <c r="E75" s="156">
        <v>0</v>
      </c>
      <c r="F75" s="20">
        <f t="shared" si="7"/>
        <v>0</v>
      </c>
      <c r="G75" s="102"/>
      <c r="H75" s="42"/>
      <c r="I75" s="179">
        <v>0</v>
      </c>
      <c r="J75" s="200"/>
      <c r="K75" s="200">
        <f t="shared" si="11"/>
        <v>0</v>
      </c>
      <c r="L75" s="241">
        <f t="shared" si="12"/>
        <v>0</v>
      </c>
      <c r="M75" s="223"/>
      <c r="N75" s="156"/>
      <c r="W75" s="6"/>
      <c r="X75" s="6"/>
    </row>
    <row r="76" spans="1:24" x14ac:dyDescent="0.2">
      <c r="A76" s="103" t="s">
        <v>48</v>
      </c>
      <c r="B76" s="186"/>
      <c r="C76" s="187"/>
      <c r="D76" s="101"/>
      <c r="E76" s="156">
        <v>0</v>
      </c>
      <c r="F76" s="20">
        <f t="shared" si="7"/>
        <v>0</v>
      </c>
      <c r="G76" s="102"/>
      <c r="H76" s="42"/>
      <c r="I76" s="179">
        <v>0</v>
      </c>
      <c r="J76" s="200"/>
      <c r="K76" s="200">
        <f t="shared" si="11"/>
        <v>0</v>
      </c>
      <c r="L76" s="241">
        <f t="shared" si="12"/>
        <v>0</v>
      </c>
      <c r="M76" s="223"/>
      <c r="N76" s="156"/>
    </row>
    <row r="77" spans="1:24" x14ac:dyDescent="0.2">
      <c r="A77" s="99" t="s">
        <v>51</v>
      </c>
      <c r="B77" s="186">
        <v>32</v>
      </c>
      <c r="C77" s="187">
        <v>12818689</v>
      </c>
      <c r="D77" s="101"/>
      <c r="E77" s="156">
        <v>0.9</v>
      </c>
      <c r="F77" s="20">
        <f t="shared" si="7"/>
        <v>0.91691999999999996</v>
      </c>
      <c r="G77" s="102">
        <f>F77*111.03/100</f>
        <v>1.018056276</v>
      </c>
      <c r="H77" s="42">
        <v>0.64</v>
      </c>
      <c r="I77" s="179">
        <v>0.7</v>
      </c>
      <c r="J77" s="200">
        <f>I77*15/100+I77</f>
        <v>0.80499999999999994</v>
      </c>
      <c r="K77" s="200">
        <f>J77*1.115</f>
        <v>0.8975749999999999</v>
      </c>
      <c r="L77" s="241">
        <f>F77*C77</f>
        <v>11753712.317879999</v>
      </c>
      <c r="M77" s="223"/>
      <c r="N77" s="156"/>
    </row>
    <row r="78" spans="1:24" x14ac:dyDescent="0.2">
      <c r="A78" s="61" t="s">
        <v>13</v>
      </c>
      <c r="B78" s="186"/>
      <c r="C78" s="187"/>
      <c r="D78" s="100"/>
      <c r="E78" s="156">
        <v>0</v>
      </c>
      <c r="F78" s="20">
        <f t="shared" si="7"/>
        <v>0</v>
      </c>
      <c r="G78" s="102"/>
      <c r="H78" s="42"/>
      <c r="I78" s="179">
        <v>0</v>
      </c>
      <c r="J78" s="200"/>
      <c r="K78" s="200">
        <f t="shared" si="11"/>
        <v>0</v>
      </c>
      <c r="L78" s="241">
        <f t="shared" si="12"/>
        <v>0</v>
      </c>
      <c r="M78" s="223"/>
      <c r="N78" s="156"/>
      <c r="V78" s="6"/>
    </row>
    <row r="79" spans="1:24" x14ac:dyDescent="0.2">
      <c r="B79" s="189">
        <v>1</v>
      </c>
      <c r="C79" s="190">
        <v>110475</v>
      </c>
      <c r="D79" s="107"/>
      <c r="E79" s="156">
        <v>1.2</v>
      </c>
      <c r="F79" s="20">
        <f>E79*1.0188</f>
        <v>1.2225599999999999</v>
      </c>
      <c r="G79" s="102">
        <v>0.78</v>
      </c>
      <c r="H79" s="42">
        <v>0.88</v>
      </c>
      <c r="I79" s="179">
        <v>0.94503199999999998</v>
      </c>
      <c r="J79" s="200">
        <f>I79*15/100+I79</f>
        <v>1.0867868000000001</v>
      </c>
      <c r="K79" s="200">
        <f>1.2</f>
        <v>1.2</v>
      </c>
      <c r="L79" s="241">
        <f>F79*C79</f>
        <v>135062.31599999999</v>
      </c>
      <c r="M79" s="223"/>
      <c r="N79" s="156"/>
      <c r="O79" s="47"/>
    </row>
    <row r="80" spans="1:24" x14ac:dyDescent="0.2">
      <c r="A80" s="108" t="s">
        <v>17</v>
      </c>
      <c r="B80" s="189"/>
      <c r="C80" s="190"/>
      <c r="D80" s="107"/>
      <c r="E80" s="156">
        <v>0</v>
      </c>
      <c r="F80" s="20">
        <f t="shared" si="7"/>
        <v>0</v>
      </c>
      <c r="G80" s="102"/>
      <c r="H80" s="42"/>
      <c r="I80" s="179">
        <f t="shared" ref="I80:I81" si="14">H80*7.39/100+H80</f>
        <v>0</v>
      </c>
      <c r="J80" s="200"/>
      <c r="K80" s="200">
        <f t="shared" si="11"/>
        <v>0</v>
      </c>
      <c r="L80" s="241">
        <f t="shared" si="12"/>
        <v>0</v>
      </c>
      <c r="M80" s="223"/>
      <c r="N80" s="156"/>
    </row>
    <row r="81" spans="1:22" ht="13.5" thickBot="1" x14ac:dyDescent="0.25">
      <c r="A81" s="110"/>
      <c r="B81" s="111">
        <v>3</v>
      </c>
      <c r="C81" s="112">
        <v>404096</v>
      </c>
      <c r="D81" s="113"/>
      <c r="E81" s="109">
        <v>1.22</v>
      </c>
      <c r="F81" s="20">
        <f>E81*1.0188</f>
        <v>1.2429359999999998</v>
      </c>
      <c r="G81" s="102">
        <f>F81*111.03/100</f>
        <v>1.3800318407999999</v>
      </c>
      <c r="H81" s="42">
        <v>0.63</v>
      </c>
      <c r="I81" s="181">
        <f t="shared" si="14"/>
        <v>0.67655699999999996</v>
      </c>
      <c r="J81" s="180">
        <f>I81*15/100+I81</f>
        <v>0.77804054999999994</v>
      </c>
      <c r="K81" s="200">
        <f>J81*1.115</f>
        <v>0.86751521324999992</v>
      </c>
      <c r="L81" s="241">
        <f>F81*C81</f>
        <v>502265.46585599991</v>
      </c>
      <c r="M81" s="223"/>
      <c r="N81" s="156"/>
    </row>
    <row r="82" spans="1:22" ht="13.5" thickBot="1" x14ac:dyDescent="0.25">
      <c r="A82" s="30"/>
      <c r="F82" s="114"/>
      <c r="G82" s="114"/>
      <c r="L82" s="242">
        <f>L52+L59+L65+L74+L77+L81+L59+L71+L67+L69+L79+L72</f>
        <v>36118114.470071994</v>
      </c>
      <c r="M82" s="224"/>
      <c r="N82" s="158"/>
      <c r="O82" s="56"/>
    </row>
    <row r="83" spans="1:22" x14ac:dyDescent="0.2">
      <c r="A83" s="30"/>
      <c r="B83" s="16"/>
      <c r="C83" s="16"/>
      <c r="D83" s="3"/>
      <c r="E83" s="115"/>
      <c r="F83" s="19"/>
      <c r="G83" s="19"/>
      <c r="H83" s="19"/>
      <c r="I83" s="19"/>
      <c r="J83" s="19"/>
      <c r="K83" s="19"/>
      <c r="L83" s="19"/>
      <c r="M83" s="19"/>
      <c r="N83" s="159"/>
      <c r="Q83" s="6"/>
    </row>
    <row r="84" spans="1:22" ht="13.5" thickBot="1" x14ac:dyDescent="0.25">
      <c r="A84" s="30"/>
      <c r="B84" s="16"/>
      <c r="C84" s="16"/>
      <c r="D84" s="4"/>
      <c r="E84" s="116"/>
      <c r="F84" s="20"/>
      <c r="G84" s="20"/>
      <c r="H84" s="20"/>
      <c r="I84" s="20"/>
      <c r="J84" s="20"/>
      <c r="K84" s="20"/>
      <c r="L84" s="20"/>
      <c r="M84" s="20"/>
      <c r="N84" s="158"/>
      <c r="O84" s="57"/>
    </row>
    <row r="85" spans="1:22" ht="13.5" thickBot="1" x14ac:dyDescent="0.25">
      <c r="A85" s="76" t="s">
        <v>18</v>
      </c>
      <c r="B85" s="16"/>
      <c r="C85" s="16"/>
      <c r="D85" s="117"/>
      <c r="E85" s="253" t="s">
        <v>19</v>
      </c>
      <c r="F85" s="254"/>
      <c r="G85" s="21"/>
      <c r="H85" s="21"/>
      <c r="I85" s="21"/>
      <c r="J85" s="21"/>
      <c r="K85" s="21"/>
      <c r="L85" s="21"/>
      <c r="M85" s="21"/>
      <c r="N85" s="160"/>
      <c r="O85" s="4"/>
    </row>
    <row r="86" spans="1:22" ht="23.25" thickBot="1" x14ac:dyDescent="0.25">
      <c r="A86" s="30"/>
      <c r="B86" s="16"/>
      <c r="C86" s="16"/>
      <c r="D86" s="118" t="s">
        <v>16</v>
      </c>
      <c r="E86" s="119" t="s">
        <v>6</v>
      </c>
      <c r="F86" s="120" t="s">
        <v>7</v>
      </c>
      <c r="G86" s="29" t="s">
        <v>68</v>
      </c>
      <c r="H86" s="29" t="s">
        <v>70</v>
      </c>
      <c r="I86" s="22" t="s">
        <v>69</v>
      </c>
      <c r="J86" s="29" t="s">
        <v>75</v>
      </c>
      <c r="K86" s="202" t="s">
        <v>79</v>
      </c>
      <c r="L86" s="202" t="s">
        <v>80</v>
      </c>
      <c r="M86" s="202" t="s">
        <v>96</v>
      </c>
      <c r="N86" s="202" t="s">
        <v>81</v>
      </c>
      <c r="O86" s="4"/>
    </row>
    <row r="87" spans="1:22" ht="13.5" thickBot="1" x14ac:dyDescent="0.25">
      <c r="A87" s="121" t="s">
        <v>34</v>
      </c>
      <c r="B87" s="122"/>
      <c r="C87" s="16"/>
      <c r="D87" s="123">
        <v>54000</v>
      </c>
      <c r="E87" s="35">
        <v>54.633929999999999</v>
      </c>
      <c r="F87" s="124">
        <v>75.0047371398</v>
      </c>
      <c r="G87" s="23">
        <v>90</v>
      </c>
      <c r="H87" s="23">
        <f>G87*111.03/100</f>
        <v>99.927000000000007</v>
      </c>
      <c r="I87" s="23">
        <v>107</v>
      </c>
      <c r="J87" s="170">
        <f>I87*7.39/100+I87</f>
        <v>114.90730000000001</v>
      </c>
      <c r="K87" s="203">
        <f>J87*12.2/100+J87</f>
        <v>128.92599060000001</v>
      </c>
      <c r="L87" s="209">
        <f>K87*1.0786</f>
        <v>139.05957346116</v>
      </c>
      <c r="M87" s="228">
        <f>L87*1.0188</f>
        <v>141.6738934422298</v>
      </c>
      <c r="N87" s="230">
        <f>M87*D87</f>
        <v>7650390.2458804091</v>
      </c>
      <c r="O87" s="58"/>
    </row>
    <row r="88" spans="1:22" ht="13.5" thickBot="1" x14ac:dyDescent="0.25">
      <c r="A88" s="125" t="s">
        <v>20</v>
      </c>
      <c r="B88" s="126"/>
      <c r="C88" s="16"/>
      <c r="D88" s="127">
        <v>2200</v>
      </c>
      <c r="E88" s="128">
        <v>49.592010000000002</v>
      </c>
      <c r="F88" s="128">
        <v>68.082886848599998</v>
      </c>
      <c r="G88" s="129">
        <v>78</v>
      </c>
      <c r="H88" s="24">
        <f>G88*111.03/100</f>
        <v>86.603400000000008</v>
      </c>
      <c r="I88" s="24">
        <f>H88*7/100+H88</f>
        <v>92.665638000000001</v>
      </c>
      <c r="J88" s="171">
        <f>I88*7.39/100+I88</f>
        <v>99.513628648199997</v>
      </c>
      <c r="K88" s="210">
        <f>J88*12.2/100+J88</f>
        <v>111.65429134328039</v>
      </c>
      <c r="L88" s="219">
        <f>K88*1.0786</f>
        <v>120.43031864286223</v>
      </c>
      <c r="M88" s="228">
        <f t="shared" ref="M88" si="15">L88*1.0188</f>
        <v>122.69440863334803</v>
      </c>
      <c r="N88" s="231">
        <f>M88*D88</f>
        <v>269927.69899336569</v>
      </c>
      <c r="O88" s="58"/>
    </row>
    <row r="89" spans="1:22" ht="13.5" thickBot="1" x14ac:dyDescent="0.25">
      <c r="A89" s="30"/>
      <c r="B89" s="16"/>
      <c r="C89" s="16"/>
      <c r="D89" s="16"/>
      <c r="E89" s="16"/>
      <c r="F89" s="25" t="s">
        <v>14</v>
      </c>
      <c r="G89" s="25"/>
      <c r="H89" s="25"/>
      <c r="I89" s="25"/>
      <c r="J89" s="25"/>
      <c r="K89" s="204"/>
      <c r="L89" s="218"/>
      <c r="M89" s="225"/>
      <c r="N89" s="161"/>
      <c r="O89" s="232">
        <f>N87+N88</f>
        <v>7920317.9448737744</v>
      </c>
    </row>
    <row r="90" spans="1:22" x14ac:dyDescent="0.2">
      <c r="A90" s="30"/>
      <c r="B90" s="16"/>
      <c r="C90" s="16"/>
      <c r="D90" s="16"/>
      <c r="E90" s="16"/>
      <c r="F90" s="26"/>
      <c r="G90" s="26"/>
      <c r="H90" s="26"/>
      <c r="I90" s="26"/>
      <c r="J90" s="26"/>
      <c r="K90" s="205"/>
      <c r="L90" s="205"/>
      <c r="M90" s="205"/>
      <c r="N90" s="150"/>
      <c r="O90" s="16"/>
      <c r="V90" s="6"/>
    </row>
    <row r="91" spans="1:22" ht="13.5" thickBot="1" x14ac:dyDescent="0.25">
      <c r="A91" s="76" t="s">
        <v>21</v>
      </c>
      <c r="B91" s="16"/>
      <c r="C91" s="16"/>
      <c r="D91" s="16"/>
      <c r="E91" s="255" t="s">
        <v>22</v>
      </c>
      <c r="F91" s="256"/>
      <c r="G91" s="27"/>
      <c r="H91" s="27"/>
      <c r="I91" s="27"/>
      <c r="J91" s="27"/>
      <c r="K91" s="206"/>
      <c r="L91" s="220"/>
      <c r="M91" s="206"/>
      <c r="N91" s="150"/>
      <c r="O91" s="16"/>
    </row>
    <row r="92" spans="1:22" ht="23.25" thickBot="1" x14ac:dyDescent="0.25">
      <c r="A92" s="30"/>
      <c r="B92" s="16"/>
      <c r="C92" s="16"/>
      <c r="D92" s="130" t="s">
        <v>3</v>
      </c>
      <c r="E92" s="131" t="s">
        <v>6</v>
      </c>
      <c r="F92" s="86" t="s">
        <v>7</v>
      </c>
      <c r="G92" s="46" t="s">
        <v>71</v>
      </c>
      <c r="H92" s="46" t="s">
        <v>70</v>
      </c>
      <c r="I92" s="46" t="s">
        <v>69</v>
      </c>
      <c r="J92" s="46" t="s">
        <v>75</v>
      </c>
      <c r="K92" s="211" t="s">
        <v>89</v>
      </c>
      <c r="L92" s="202" t="s">
        <v>80</v>
      </c>
      <c r="M92" s="202" t="s">
        <v>96</v>
      </c>
      <c r="N92" s="221" t="s">
        <v>82</v>
      </c>
      <c r="O92" s="221" t="s">
        <v>83</v>
      </c>
    </row>
    <row r="93" spans="1:22" x14ac:dyDescent="0.2">
      <c r="A93" s="30" t="s">
        <v>23</v>
      </c>
      <c r="B93" s="16"/>
      <c r="C93" s="16"/>
      <c r="D93" s="132">
        <v>10</v>
      </c>
      <c r="E93" s="35">
        <v>243.91601</v>
      </c>
      <c r="F93" s="35">
        <f>E93*1.281</f>
        <v>312.45640880999997</v>
      </c>
      <c r="G93" s="124">
        <v>359</v>
      </c>
      <c r="H93" s="35">
        <f>G93*111.03/100</f>
        <v>398.59769999999997</v>
      </c>
      <c r="I93" s="35">
        <f>H93*7/100+H93</f>
        <v>426.49953899999997</v>
      </c>
      <c r="J93" s="172">
        <f>I93*7.39/100+I93</f>
        <v>458.01785493209997</v>
      </c>
      <c r="K93" s="212">
        <f>J93*12.2/100+J93</f>
        <v>513.89603323381618</v>
      </c>
      <c r="L93" s="212">
        <f>K93*1.0764</f>
        <v>553.15769017287971</v>
      </c>
      <c r="M93" s="228">
        <f>L93*1.0188</f>
        <v>563.55705474812976</v>
      </c>
      <c r="N93" s="233">
        <f>M93*D93*12</f>
        <v>67626.846569775575</v>
      </c>
      <c r="O93" s="234"/>
    </row>
    <row r="94" spans="1:22" x14ac:dyDescent="0.2">
      <c r="A94" s="30" t="s">
        <v>10</v>
      </c>
      <c r="B94" s="16"/>
      <c r="C94" s="16"/>
      <c r="D94" s="132">
        <v>5</v>
      </c>
      <c r="E94" s="35">
        <v>243.91601</v>
      </c>
      <c r="F94" s="35">
        <f>E94*1.281</f>
        <v>312.45640880999997</v>
      </c>
      <c r="G94" s="124">
        <v>359</v>
      </c>
      <c r="H94" s="35">
        <f>G94*111.03/100</f>
        <v>398.59769999999997</v>
      </c>
      <c r="I94" s="28">
        <f>H94*7/100+H94</f>
        <v>426.49953899999997</v>
      </c>
      <c r="J94" s="173">
        <f>I94*7.39/100+I94</f>
        <v>458.01785493209997</v>
      </c>
      <c r="K94" s="212">
        <f>J94*12.2/100+J94</f>
        <v>513.89603323381618</v>
      </c>
      <c r="L94" s="212">
        <f t="shared" ref="L94:L95" si="16">K94*1.0764</f>
        <v>553.15769017287971</v>
      </c>
      <c r="M94" s="228">
        <f t="shared" ref="M94:M95" si="17">L94*1.0188</f>
        <v>563.55705474812976</v>
      </c>
      <c r="N94" s="233">
        <f t="shared" ref="N94:N95" si="18">M94*D94*12</f>
        <v>33813.423284887787</v>
      </c>
      <c r="O94" s="234"/>
    </row>
    <row r="95" spans="1:22" ht="13.5" thickBot="1" x14ac:dyDescent="0.25">
      <c r="A95" s="30" t="s">
        <v>12</v>
      </c>
      <c r="B95" s="16"/>
      <c r="C95" s="16"/>
      <c r="D95" s="79">
        <v>5</v>
      </c>
      <c r="E95" s="128">
        <v>320.47703999999999</v>
      </c>
      <c r="F95" s="128">
        <f>E95*1.281</f>
        <v>410.53108823999997</v>
      </c>
      <c r="G95" s="133">
        <v>472</v>
      </c>
      <c r="H95" s="36">
        <f>G95*111.03/100</f>
        <v>524.0616</v>
      </c>
      <c r="I95" s="44">
        <f>H95*7/100+H95</f>
        <v>560.74591199999998</v>
      </c>
      <c r="J95" s="174">
        <f>I95*7.39/100+I95</f>
        <v>602.18503489679995</v>
      </c>
      <c r="K95" s="212">
        <f>J95*12.2/100+J95</f>
        <v>675.6516091542095</v>
      </c>
      <c r="L95" s="212">
        <f t="shared" si="16"/>
        <v>727.27139209359109</v>
      </c>
      <c r="M95" s="228">
        <f t="shared" si="17"/>
        <v>740.94409426495054</v>
      </c>
      <c r="N95" s="233">
        <f t="shared" si="18"/>
        <v>44456.645655897039</v>
      </c>
      <c r="O95" s="235"/>
    </row>
    <row r="96" spans="1:22" ht="13.5" thickBot="1" x14ac:dyDescent="0.25">
      <c r="A96" s="30"/>
      <c r="B96" s="16"/>
      <c r="C96" s="16"/>
      <c r="D96" s="16"/>
      <c r="E96" s="16"/>
      <c r="F96" s="25" t="s">
        <v>14</v>
      </c>
      <c r="G96" s="25"/>
      <c r="H96" s="25"/>
      <c r="I96" s="25"/>
      <c r="J96" s="25"/>
      <c r="K96" s="25"/>
      <c r="L96" s="25"/>
      <c r="M96" s="25"/>
      <c r="N96" s="161"/>
      <c r="O96" s="236">
        <f>N95+N94+N93</f>
        <v>145896.91551056039</v>
      </c>
    </row>
    <row r="97" spans="1:15" ht="14.25" thickTop="1" thickBot="1" x14ac:dyDescent="0.25">
      <c r="A97" s="134"/>
      <c r="B97" s="13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50"/>
      <c r="O97" s="237"/>
    </row>
    <row r="98" spans="1:15" ht="14.25" thickTop="1" thickBot="1" x14ac:dyDescent="0.25">
      <c r="A98" s="30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2" t="s">
        <v>14</v>
      </c>
      <c r="O98" s="238">
        <f>O44+L82+O89+O96</f>
        <v>50285222.979403943</v>
      </c>
    </row>
    <row r="99" spans="1:15" ht="14.25" thickTop="1" thickBot="1" x14ac:dyDescent="0.25">
      <c r="A99" s="30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2" t="s">
        <v>24</v>
      </c>
      <c r="O99" s="239">
        <f>O98*1.14</f>
        <v>57325154.196520492</v>
      </c>
    </row>
    <row r="100" spans="1:15" ht="23.25" thickBot="1" x14ac:dyDescent="0.25">
      <c r="A100" s="30"/>
      <c r="B100" s="16"/>
      <c r="C100" s="16"/>
      <c r="D100" s="16"/>
      <c r="E100" s="136" t="s">
        <v>6</v>
      </c>
      <c r="F100" s="137" t="s">
        <v>7</v>
      </c>
      <c r="G100" s="29" t="s">
        <v>72</v>
      </c>
      <c r="H100" s="29" t="s">
        <v>66</v>
      </c>
      <c r="I100" s="29" t="s">
        <v>67</v>
      </c>
      <c r="J100" s="29" t="s">
        <v>74</v>
      </c>
      <c r="K100" s="202" t="s">
        <v>88</v>
      </c>
      <c r="L100" s="202" t="s">
        <v>84</v>
      </c>
      <c r="M100" s="221" t="s">
        <v>95</v>
      </c>
      <c r="N100" s="221"/>
    </row>
    <row r="101" spans="1:15" x14ac:dyDescent="0.2">
      <c r="A101" s="76" t="s">
        <v>25</v>
      </c>
      <c r="B101" s="26"/>
      <c r="C101" s="26"/>
      <c r="D101" s="16"/>
      <c r="E101" s="138">
        <v>188.73062000000002</v>
      </c>
      <c r="F101" s="139">
        <v>275</v>
      </c>
      <c r="G101" s="45">
        <v>331.05</v>
      </c>
      <c r="H101" s="45">
        <f>G101*111.03/100</f>
        <v>367.56481500000001</v>
      </c>
      <c r="I101" s="45">
        <f>H101*7/100+H101</f>
        <v>393.29435204999999</v>
      </c>
      <c r="J101" s="175">
        <f>I101*7.39/100+I101</f>
        <v>422.35880466649496</v>
      </c>
      <c r="K101" s="207">
        <f>J101*12.2/100+J101</f>
        <v>473.88657883580731</v>
      </c>
      <c r="L101" s="212">
        <f>K101*1.0764</f>
        <v>510.09151345886301</v>
      </c>
      <c r="M101" s="229">
        <f>L101*1.0188</f>
        <v>519.68123391188965</v>
      </c>
      <c r="N101" s="163"/>
      <c r="O101" s="16"/>
    </row>
    <row r="102" spans="1:15" x14ac:dyDescent="0.2">
      <c r="A102" s="30"/>
      <c r="B102" s="16"/>
      <c r="C102" s="16"/>
      <c r="D102" s="16"/>
      <c r="E102" s="140"/>
      <c r="F102" s="141"/>
      <c r="G102" s="37"/>
      <c r="H102" s="37"/>
      <c r="I102" s="37"/>
      <c r="J102" s="175"/>
      <c r="K102" s="207"/>
      <c r="L102" s="212">
        <f t="shared" ref="L102:L112" si="19">K102*1.0764</f>
        <v>0</v>
      </c>
      <c r="M102" s="229">
        <f t="shared" ref="M102:M112" si="20">L102*1.0188</f>
        <v>0</v>
      </c>
      <c r="N102" s="150"/>
      <c r="O102" s="16"/>
    </row>
    <row r="103" spans="1:15" x14ac:dyDescent="0.2">
      <c r="A103" s="76" t="s">
        <v>26</v>
      </c>
      <c r="B103" s="16"/>
      <c r="C103" s="16"/>
      <c r="D103" s="16"/>
      <c r="E103" s="140">
        <v>57.351839999999996</v>
      </c>
      <c r="F103" s="141">
        <v>100</v>
      </c>
      <c r="G103" s="37">
        <v>120.38</v>
      </c>
      <c r="H103" s="37">
        <f t="shared" ref="H103:H112" si="21">G103*111.03/100</f>
        <v>133.65791400000001</v>
      </c>
      <c r="I103" s="37">
        <f t="shared" ref="I103:I112" si="22">H103*7/100+H103</f>
        <v>143.01396798000002</v>
      </c>
      <c r="J103" s="175">
        <f t="shared" ref="J103:J112" si="23">I103*7.39/100+I103</f>
        <v>153.58270021372201</v>
      </c>
      <c r="K103" s="207">
        <f>J103*12.2/100+J103</f>
        <v>172.31978963979608</v>
      </c>
      <c r="L103" s="212">
        <f t="shared" si="19"/>
        <v>185.48502156827652</v>
      </c>
      <c r="M103" s="229">
        <f t="shared" si="20"/>
        <v>188.97213997376011</v>
      </c>
      <c r="N103" s="163"/>
      <c r="O103" s="16"/>
    </row>
    <row r="104" spans="1:15" ht="13.5" thickBot="1" x14ac:dyDescent="0.25">
      <c r="A104" s="30"/>
      <c r="B104" s="142" t="s">
        <v>2</v>
      </c>
      <c r="C104" s="16"/>
      <c r="D104" s="16"/>
      <c r="E104" s="140"/>
      <c r="F104" s="141"/>
      <c r="G104" s="37"/>
      <c r="H104" s="37"/>
      <c r="I104" s="37"/>
      <c r="J104" s="175"/>
      <c r="K104" s="207"/>
      <c r="L104" s="212">
        <f t="shared" si="19"/>
        <v>0</v>
      </c>
      <c r="M104" s="229">
        <f t="shared" si="20"/>
        <v>0</v>
      </c>
      <c r="N104" s="163"/>
      <c r="O104" s="16"/>
    </row>
    <row r="105" spans="1:15" x14ac:dyDescent="0.2">
      <c r="A105" s="76" t="s">
        <v>27</v>
      </c>
      <c r="B105" s="143">
        <v>1</v>
      </c>
      <c r="C105" s="16"/>
      <c r="D105" s="16"/>
      <c r="E105" s="140">
        <v>459.54999999999995</v>
      </c>
      <c r="F105" s="141">
        <v>750</v>
      </c>
      <c r="G105" s="37">
        <v>902.85</v>
      </c>
      <c r="H105" s="37">
        <f t="shared" si="21"/>
        <v>1002.4343550000001</v>
      </c>
      <c r="I105" s="37">
        <f t="shared" si="22"/>
        <v>1072.6047598500002</v>
      </c>
      <c r="J105" s="175">
        <f t="shared" si="23"/>
        <v>1151.8702516029152</v>
      </c>
      <c r="K105" s="207">
        <f>J105*12.2/100+J105</f>
        <v>1292.3984222984709</v>
      </c>
      <c r="L105" s="212">
        <f t="shared" si="19"/>
        <v>1391.137661762074</v>
      </c>
      <c r="M105" s="229">
        <f t="shared" si="20"/>
        <v>1417.2910498032008</v>
      </c>
      <c r="N105" s="163"/>
      <c r="O105" s="16"/>
    </row>
    <row r="106" spans="1:15" ht="13.5" thickBot="1" x14ac:dyDescent="0.25">
      <c r="A106" s="30"/>
      <c r="B106" s="144">
        <v>3</v>
      </c>
      <c r="C106" s="16"/>
      <c r="D106" s="16"/>
      <c r="E106" s="140">
        <v>656.5</v>
      </c>
      <c r="F106" s="141">
        <v>950</v>
      </c>
      <c r="G106" s="37">
        <v>1143.6099999999999</v>
      </c>
      <c r="H106" s="37">
        <f t="shared" si="21"/>
        <v>1269.7501829999999</v>
      </c>
      <c r="I106" s="37">
        <f t="shared" si="22"/>
        <v>1358.6326958099999</v>
      </c>
      <c r="J106" s="175">
        <f t="shared" si="23"/>
        <v>1459.035652030359</v>
      </c>
      <c r="K106" s="207">
        <f>J106*12.2/100+J106</f>
        <v>1637.0380015780627</v>
      </c>
      <c r="L106" s="212">
        <f t="shared" si="19"/>
        <v>1762.1077048986267</v>
      </c>
      <c r="M106" s="229">
        <f t="shared" si="20"/>
        <v>1795.2353297507207</v>
      </c>
      <c r="N106" s="163"/>
      <c r="O106" s="16"/>
    </row>
    <row r="107" spans="1:15" x14ac:dyDescent="0.2">
      <c r="A107" s="30"/>
      <c r="B107" s="145"/>
      <c r="C107" s="16"/>
      <c r="D107" s="16"/>
      <c r="E107" s="140"/>
      <c r="F107" s="141"/>
      <c r="G107" s="37"/>
      <c r="H107" s="37">
        <f t="shared" si="21"/>
        <v>0</v>
      </c>
      <c r="I107" s="37"/>
      <c r="J107" s="175"/>
      <c r="K107" s="207"/>
      <c r="L107" s="212">
        <f t="shared" si="19"/>
        <v>0</v>
      </c>
      <c r="M107" s="229">
        <f t="shared" si="20"/>
        <v>0</v>
      </c>
      <c r="N107" s="163"/>
      <c r="O107" s="16"/>
    </row>
    <row r="108" spans="1:15" x14ac:dyDescent="0.2">
      <c r="A108" s="76" t="s">
        <v>28</v>
      </c>
      <c r="B108" s="142"/>
      <c r="C108" s="16" t="s">
        <v>29</v>
      </c>
      <c r="D108" s="16"/>
      <c r="E108" s="140">
        <v>787.8</v>
      </c>
      <c r="F108" s="141">
        <v>1500</v>
      </c>
      <c r="G108" s="37">
        <v>1805.7</v>
      </c>
      <c r="H108" s="37">
        <f t="shared" si="21"/>
        <v>2004.8687100000002</v>
      </c>
      <c r="I108" s="37">
        <f t="shared" si="22"/>
        <v>2145.2095197000003</v>
      </c>
      <c r="J108" s="175">
        <f t="shared" si="23"/>
        <v>2303.7405032058305</v>
      </c>
      <c r="K108" s="207">
        <f>J108*12.2/100+J108</f>
        <v>2584.7968445969418</v>
      </c>
      <c r="L108" s="212">
        <f t="shared" si="19"/>
        <v>2782.275323524148</v>
      </c>
      <c r="M108" s="229">
        <f>L108*1.0188</f>
        <v>2834.5820996064017</v>
      </c>
      <c r="N108" s="163"/>
      <c r="O108" s="26"/>
    </row>
    <row r="109" spans="1:15" x14ac:dyDescent="0.2">
      <c r="A109" s="76"/>
      <c r="B109" s="142"/>
      <c r="C109" s="16"/>
      <c r="D109" s="16"/>
      <c r="E109" s="140"/>
      <c r="F109" s="141"/>
      <c r="G109" s="37"/>
      <c r="H109" s="37"/>
      <c r="I109" s="37"/>
      <c r="J109" s="175"/>
      <c r="K109" s="207"/>
      <c r="L109" s="212">
        <f t="shared" si="19"/>
        <v>0</v>
      </c>
      <c r="M109" s="229">
        <f t="shared" si="20"/>
        <v>0</v>
      </c>
      <c r="N109" s="163"/>
      <c r="O109" s="26"/>
    </row>
    <row r="110" spans="1:15" ht="13.5" thickBot="1" x14ac:dyDescent="0.25">
      <c r="A110" s="76" t="s">
        <v>30</v>
      </c>
      <c r="B110" s="142"/>
      <c r="C110" s="16"/>
      <c r="D110" s="16"/>
      <c r="E110" s="140"/>
      <c r="F110" s="141"/>
      <c r="G110" s="37"/>
      <c r="H110" s="37"/>
      <c r="I110" s="37"/>
      <c r="J110" s="175"/>
      <c r="K110" s="207"/>
      <c r="L110" s="212">
        <f t="shared" si="19"/>
        <v>0</v>
      </c>
      <c r="M110" s="229">
        <f t="shared" si="20"/>
        <v>0</v>
      </c>
      <c r="N110" s="163"/>
      <c r="O110" s="26"/>
    </row>
    <row r="111" spans="1:15" x14ac:dyDescent="0.2">
      <c r="A111" s="76"/>
      <c r="B111" s="143">
        <v>1</v>
      </c>
      <c r="C111" s="16"/>
      <c r="D111" s="16"/>
      <c r="E111" s="140">
        <v>157.56</v>
      </c>
      <c r="F111" s="141">
        <v>250</v>
      </c>
      <c r="G111" s="37">
        <v>300.95</v>
      </c>
      <c r="H111" s="37">
        <f t="shared" si="21"/>
        <v>334.14478499999996</v>
      </c>
      <c r="I111" s="37">
        <f t="shared" si="22"/>
        <v>357.53491994999996</v>
      </c>
      <c r="J111" s="175">
        <f t="shared" si="23"/>
        <v>383.95675053430494</v>
      </c>
      <c r="K111" s="207">
        <f>J111*12.2/100+J111</f>
        <v>430.79947409949011</v>
      </c>
      <c r="L111" s="212">
        <f t="shared" si="19"/>
        <v>463.71255392069116</v>
      </c>
      <c r="M111" s="229">
        <f t="shared" si="20"/>
        <v>472.43034993440011</v>
      </c>
      <c r="N111" s="163"/>
      <c r="O111" s="26"/>
    </row>
    <row r="112" spans="1:15" ht="13.5" thickBot="1" x14ac:dyDescent="0.25">
      <c r="A112" s="30"/>
      <c r="B112" s="144">
        <v>3</v>
      </c>
      <c r="C112" s="16"/>
      <c r="D112" s="16"/>
      <c r="E112" s="146">
        <v>262.59999999999997</v>
      </c>
      <c r="F112" s="147">
        <v>350</v>
      </c>
      <c r="G112" s="37">
        <v>421.33</v>
      </c>
      <c r="H112" s="37">
        <f t="shared" si="21"/>
        <v>467.80269900000002</v>
      </c>
      <c r="I112" s="37">
        <f t="shared" si="22"/>
        <v>500.54888793000003</v>
      </c>
      <c r="J112" s="175">
        <f t="shared" si="23"/>
        <v>537.53945074802709</v>
      </c>
      <c r="K112" s="207">
        <f>J112*12.2/100+J112</f>
        <v>603.11926373928645</v>
      </c>
      <c r="L112" s="212">
        <f t="shared" si="19"/>
        <v>649.19757548896791</v>
      </c>
      <c r="M112" s="229">
        <f t="shared" si="20"/>
        <v>661.40248990816042</v>
      </c>
      <c r="N112" s="163"/>
      <c r="O112" s="16"/>
    </row>
    <row r="113" spans="1:15" x14ac:dyDescent="0.2">
      <c r="A113" s="30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0"/>
      <c r="O113" s="26"/>
    </row>
    <row r="114" spans="1:15" x14ac:dyDescent="0.2">
      <c r="A114" s="30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0"/>
      <c r="O114" s="16"/>
    </row>
    <row r="115" spans="1:15" x14ac:dyDescent="0.2">
      <c r="A115" s="30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0"/>
      <c r="O115" s="16"/>
    </row>
    <row r="116" spans="1:15" x14ac:dyDescent="0.2">
      <c r="A116" s="30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0"/>
      <c r="O116" s="16"/>
    </row>
    <row r="117" spans="1:15" x14ac:dyDescent="0.2">
      <c r="A117" s="30"/>
      <c r="B117" s="30"/>
      <c r="C117" s="30"/>
      <c r="D117" s="30"/>
      <c r="E117" s="30"/>
      <c r="F117" s="30"/>
      <c r="G117" s="30"/>
      <c r="H117" s="16"/>
      <c r="I117" s="16"/>
      <c r="J117" s="16"/>
      <c r="K117" s="16"/>
      <c r="L117" s="16"/>
      <c r="M117" s="16"/>
      <c r="N117" s="150"/>
      <c r="O117" s="30"/>
    </row>
    <row r="118" spans="1:15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150"/>
      <c r="O118" s="30"/>
    </row>
    <row r="119" spans="1:15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150"/>
      <c r="O119" s="30"/>
    </row>
    <row r="120" spans="1:15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150"/>
      <c r="O120" s="30"/>
    </row>
    <row r="121" spans="1:15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150"/>
      <c r="O121" s="30"/>
    </row>
    <row r="122" spans="1:15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150"/>
      <c r="O122" s="30"/>
    </row>
    <row r="123" spans="1:15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150"/>
      <c r="O123" s="30"/>
    </row>
    <row r="124" spans="1:15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150"/>
      <c r="O124" s="30"/>
    </row>
    <row r="125" spans="1:15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150"/>
      <c r="O125" s="30"/>
    </row>
    <row r="126" spans="1:15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150"/>
      <c r="O126" s="30"/>
    </row>
    <row r="127" spans="1:15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150"/>
      <c r="O127" s="30"/>
    </row>
    <row r="128" spans="1:15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150"/>
      <c r="O128" s="30"/>
    </row>
    <row r="129" spans="1:15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150"/>
      <c r="O129" s="30"/>
    </row>
    <row r="130" spans="1:15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150"/>
      <c r="O130" s="30"/>
    </row>
    <row r="131" spans="1:15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150"/>
      <c r="O131" s="30"/>
    </row>
    <row r="132" spans="1:15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150"/>
      <c r="O132" s="30"/>
    </row>
    <row r="133" spans="1:15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150"/>
      <c r="O133" s="30"/>
    </row>
    <row r="134" spans="1:1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150"/>
      <c r="O134" s="30"/>
    </row>
    <row r="135" spans="1:15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150"/>
      <c r="O135" s="30"/>
    </row>
    <row r="136" spans="1:15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150"/>
      <c r="O136" s="30"/>
    </row>
    <row r="137" spans="1:15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150"/>
      <c r="O137" s="30"/>
    </row>
    <row r="138" spans="1:15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150"/>
      <c r="O138" s="30"/>
    </row>
    <row r="139" spans="1:15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150"/>
      <c r="O139" s="30"/>
    </row>
    <row r="140" spans="1:15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150"/>
      <c r="O140" s="30"/>
    </row>
    <row r="141" spans="1:15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150"/>
      <c r="O141" s="30"/>
    </row>
    <row r="142" spans="1:15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150"/>
      <c r="O142" s="30"/>
    </row>
    <row r="143" spans="1:15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150"/>
      <c r="O143" s="30"/>
    </row>
    <row r="144" spans="1:15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150"/>
      <c r="O144" s="30"/>
    </row>
    <row r="145" spans="1:15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150"/>
      <c r="O145" s="30"/>
    </row>
    <row r="146" spans="1:15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150"/>
      <c r="O146" s="30"/>
    </row>
    <row r="147" spans="1:15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150"/>
      <c r="O147" s="30"/>
    </row>
    <row r="148" spans="1:15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150"/>
      <c r="O148" s="30"/>
    </row>
    <row r="149" spans="1:15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150"/>
      <c r="O149" s="30"/>
    </row>
    <row r="150" spans="1:15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150"/>
      <c r="O150" s="30"/>
    </row>
    <row r="151" spans="1:15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150"/>
      <c r="O151" s="30"/>
    </row>
    <row r="152" spans="1:15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150"/>
      <c r="O152" s="30"/>
    </row>
    <row r="153" spans="1:15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150"/>
      <c r="O153" s="30"/>
    </row>
    <row r="154" spans="1:15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150"/>
      <c r="O154" s="30"/>
    </row>
    <row r="155" spans="1:15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150"/>
      <c r="O155" s="30"/>
    </row>
    <row r="156" spans="1:1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150"/>
      <c r="O156" s="30"/>
    </row>
    <row r="157" spans="1:15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150"/>
      <c r="O157" s="30"/>
    </row>
    <row r="158" spans="1:15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150"/>
      <c r="O158" s="30"/>
    </row>
    <row r="159" spans="1:15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150"/>
      <c r="O159" s="30"/>
    </row>
    <row r="160" spans="1:15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150"/>
      <c r="O160" s="30"/>
    </row>
    <row r="161" spans="1:15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150"/>
      <c r="O161" s="30"/>
    </row>
    <row r="162" spans="1:15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150"/>
      <c r="O162" s="30"/>
    </row>
    <row r="163" spans="1:15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150"/>
      <c r="O163" s="30"/>
    </row>
    <row r="164" spans="1:15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150"/>
      <c r="O164" s="30"/>
    </row>
    <row r="165" spans="1:15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150"/>
      <c r="O165" s="30"/>
    </row>
    <row r="166" spans="1:15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150"/>
      <c r="O166" s="30"/>
    </row>
    <row r="167" spans="1:15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150"/>
      <c r="O167" s="30"/>
    </row>
    <row r="168" spans="1:15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150"/>
      <c r="O168" s="30"/>
    </row>
    <row r="169" spans="1:15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150"/>
      <c r="O169" s="30"/>
    </row>
    <row r="170" spans="1:15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150"/>
      <c r="O170" s="30"/>
    </row>
    <row r="171" spans="1:15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150"/>
      <c r="O171" s="30"/>
    </row>
    <row r="172" spans="1:15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150"/>
      <c r="O172" s="30"/>
    </row>
    <row r="173" spans="1:15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150"/>
      <c r="O173" s="30"/>
    </row>
    <row r="174" spans="1:15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150"/>
      <c r="O174" s="30"/>
    </row>
    <row r="175" spans="1:15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150"/>
      <c r="O175" s="30"/>
    </row>
    <row r="176" spans="1:15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150"/>
      <c r="O176" s="30"/>
    </row>
    <row r="177" spans="1:15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150"/>
      <c r="O177" s="30"/>
    </row>
    <row r="178" spans="1:15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150"/>
      <c r="O178" s="30"/>
    </row>
    <row r="179" spans="1:15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150"/>
      <c r="O179" s="30"/>
    </row>
    <row r="180" spans="1:15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150"/>
      <c r="O180" s="30"/>
    </row>
    <row r="181" spans="1:15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150"/>
      <c r="O181" s="30"/>
    </row>
    <row r="182" spans="1:15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150"/>
      <c r="O182" s="30"/>
    </row>
    <row r="183" spans="1:15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150"/>
      <c r="O183" s="30"/>
    </row>
    <row r="184" spans="1:15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150"/>
      <c r="O184" s="30"/>
    </row>
    <row r="185" spans="1:15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150"/>
      <c r="O185" s="30"/>
    </row>
    <row r="186" spans="1:15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150"/>
      <c r="O186" s="30"/>
    </row>
    <row r="187" spans="1:15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150"/>
      <c r="O187" s="30"/>
    </row>
    <row r="188" spans="1:15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150"/>
      <c r="O188" s="30"/>
    </row>
    <row r="189" spans="1:15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150"/>
      <c r="O189" s="30"/>
    </row>
    <row r="190" spans="1:15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150"/>
      <c r="O190" s="30"/>
    </row>
    <row r="191" spans="1:15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150"/>
      <c r="O191" s="30"/>
    </row>
    <row r="192" spans="1:15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150"/>
      <c r="O192" s="30"/>
    </row>
    <row r="193" spans="1:15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150"/>
      <c r="O193" s="30"/>
    </row>
    <row r="194" spans="1:15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150"/>
      <c r="O194" s="30"/>
    </row>
    <row r="195" spans="1:15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150"/>
      <c r="O195" s="30"/>
    </row>
    <row r="196" spans="1:15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150"/>
      <c r="O196" s="30"/>
    </row>
    <row r="197" spans="1:15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150"/>
      <c r="O197" s="30"/>
    </row>
    <row r="198" spans="1:15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150"/>
      <c r="O198" s="30"/>
    </row>
    <row r="199" spans="1:15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150"/>
      <c r="O199" s="30"/>
    </row>
    <row r="200" spans="1:15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150"/>
      <c r="O200" s="30"/>
    </row>
    <row r="201" spans="1:15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150"/>
      <c r="O201" s="30"/>
    </row>
    <row r="202" spans="1:15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150"/>
      <c r="O202" s="30"/>
    </row>
    <row r="203" spans="1:15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150"/>
      <c r="O203" s="30"/>
    </row>
    <row r="204" spans="1:15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150"/>
      <c r="O204" s="30"/>
    </row>
    <row r="205" spans="1:15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150"/>
      <c r="O205" s="30"/>
    </row>
    <row r="206" spans="1:15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150"/>
      <c r="O206" s="30"/>
    </row>
    <row r="207" spans="1:15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150"/>
      <c r="O207" s="30"/>
    </row>
    <row r="208" spans="1:15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150"/>
      <c r="O208" s="30"/>
    </row>
  </sheetData>
  <mergeCells count="5">
    <mergeCell ref="C1:J1"/>
    <mergeCell ref="E6:F6"/>
    <mergeCell ref="E7:F7"/>
    <mergeCell ref="E85:F85"/>
    <mergeCell ref="E91:F91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Khathutshelo Mabija</cp:lastModifiedBy>
  <cp:lastPrinted>2017-05-16T14:59:20Z</cp:lastPrinted>
  <dcterms:created xsi:type="dcterms:W3CDTF">2009-07-02T09:06:42Z</dcterms:created>
  <dcterms:modified xsi:type="dcterms:W3CDTF">2017-05-16T14:59:23Z</dcterms:modified>
</cp:coreProperties>
</file>