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kramosibi\Desktop\"/>
    </mc:Choice>
  </mc:AlternateContent>
  <workbookProtection workbookPassword="FB84" lockStructure="1"/>
  <bookViews>
    <workbookView xWindow="0" yWindow="0" windowWidth="24000" windowHeight="9735" tabRatio="889" firstSheet="14" activeTab="38"/>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 r:id="rId65"/>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A3A!$A$1:$K$338</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'SA36'!$A$1:$Q$45</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L50" i="126" l="1"/>
  <c r="K50" i="126"/>
  <c r="J50" i="126"/>
  <c r="L55" i="126"/>
  <c r="K55" i="126"/>
  <c r="J55" i="126"/>
  <c r="M7" i="314" l="1"/>
  <c r="L7" i="314"/>
  <c r="K8" i="134"/>
  <c r="J8" i="134"/>
  <c r="K54" i="128" l="1"/>
  <c r="L54" i="128" s="1"/>
  <c r="J54" i="128"/>
  <c r="K35" i="128"/>
  <c r="L35" i="128" s="1"/>
  <c r="J35" i="128"/>
  <c r="K23" i="128"/>
  <c r="L23" i="128" s="1"/>
  <c r="J23" i="128"/>
  <c r="J7" i="128"/>
  <c r="K7" i="128" s="1"/>
  <c r="L7" i="128" s="1"/>
  <c r="J6" i="129"/>
  <c r="K6" i="129" s="1"/>
  <c r="L6" i="129" s="1"/>
  <c r="G189" i="342" l="1"/>
  <c r="A334" i="342" l="1"/>
  <c r="K321" i="342"/>
  <c r="J321" i="342"/>
  <c r="I321" i="342"/>
  <c r="H321" i="342"/>
  <c r="G321" i="342"/>
  <c r="F321" i="342"/>
  <c r="E321" i="342"/>
  <c r="D321" i="342"/>
  <c r="C321" i="342"/>
  <c r="K310" i="342"/>
  <c r="J310" i="342"/>
  <c r="I310" i="342"/>
  <c r="H310" i="342"/>
  <c r="G310" i="342"/>
  <c r="F310" i="342"/>
  <c r="E310" i="342"/>
  <c r="D310" i="342"/>
  <c r="C310" i="342"/>
  <c r="K299" i="342"/>
  <c r="J299" i="342"/>
  <c r="I299" i="342"/>
  <c r="H299" i="342"/>
  <c r="G299" i="342"/>
  <c r="F299" i="342"/>
  <c r="E299" i="342"/>
  <c r="D299" i="342"/>
  <c r="C299" i="342"/>
  <c r="K288" i="342"/>
  <c r="J288" i="342"/>
  <c r="I288" i="342"/>
  <c r="H288" i="342"/>
  <c r="G288" i="342"/>
  <c r="F288" i="342"/>
  <c r="E288" i="342"/>
  <c r="D288" i="342"/>
  <c r="C288" i="342"/>
  <c r="K277" i="342"/>
  <c r="J277" i="342"/>
  <c r="I277" i="342"/>
  <c r="H277" i="342"/>
  <c r="G277" i="342"/>
  <c r="F277" i="342"/>
  <c r="E277" i="342"/>
  <c r="D277" i="342"/>
  <c r="C277" i="342"/>
  <c r="K266" i="342"/>
  <c r="J266" i="342"/>
  <c r="I266" i="342"/>
  <c r="H266" i="342"/>
  <c r="G266" i="342"/>
  <c r="F266" i="342"/>
  <c r="E266" i="342"/>
  <c r="D266" i="342"/>
  <c r="C266" i="342"/>
  <c r="K255" i="342"/>
  <c r="J255" i="342"/>
  <c r="I255" i="342"/>
  <c r="H255" i="342"/>
  <c r="G255" i="342"/>
  <c r="F255" i="342"/>
  <c r="E255" i="342"/>
  <c r="D255" i="342"/>
  <c r="C255" i="342"/>
  <c r="K244" i="342"/>
  <c r="J244" i="342"/>
  <c r="I244" i="342"/>
  <c r="H244" i="342"/>
  <c r="G244" i="342"/>
  <c r="F244" i="342"/>
  <c r="E244" i="342"/>
  <c r="D244" i="342"/>
  <c r="C244" i="342"/>
  <c r="K233" i="342"/>
  <c r="J233" i="342"/>
  <c r="I233" i="342"/>
  <c r="H233" i="342"/>
  <c r="G233" i="342"/>
  <c r="F233" i="342"/>
  <c r="E233" i="342"/>
  <c r="D233" i="342"/>
  <c r="C233" i="342"/>
  <c r="A230" i="342"/>
  <c r="K222" i="342"/>
  <c r="J222" i="342"/>
  <c r="I222" i="342"/>
  <c r="H222" i="342"/>
  <c r="G222" i="342"/>
  <c r="F222" i="342"/>
  <c r="E222" i="342"/>
  <c r="D222" i="342"/>
  <c r="C222" i="342"/>
  <c r="A222" i="342"/>
  <c r="A214" i="342"/>
  <c r="K211" i="342"/>
  <c r="J211" i="342"/>
  <c r="I211" i="342"/>
  <c r="H211" i="342"/>
  <c r="G211" i="342"/>
  <c r="F211" i="342"/>
  <c r="E211" i="342"/>
  <c r="D211" i="342"/>
  <c r="C211" i="342"/>
  <c r="A209" i="342"/>
  <c r="A201" i="342"/>
  <c r="K200" i="342"/>
  <c r="J200" i="342"/>
  <c r="I200" i="342"/>
  <c r="H200" i="342"/>
  <c r="G200" i="342"/>
  <c r="F200" i="342"/>
  <c r="E200" i="342"/>
  <c r="D200" i="342"/>
  <c r="C200" i="342"/>
  <c r="A196" i="342"/>
  <c r="K189" i="342"/>
  <c r="J189" i="342"/>
  <c r="I189" i="342"/>
  <c r="H189" i="342"/>
  <c r="F189" i="342"/>
  <c r="E189" i="342"/>
  <c r="D189" i="342"/>
  <c r="C189" i="342"/>
  <c r="K178" i="342"/>
  <c r="J178" i="342"/>
  <c r="I178" i="342"/>
  <c r="H178" i="342"/>
  <c r="G178" i="342"/>
  <c r="F178" i="342"/>
  <c r="E178" i="342"/>
  <c r="D178" i="342"/>
  <c r="C178" i="342"/>
  <c r="K167" i="342"/>
  <c r="J167" i="342"/>
  <c r="I167" i="342"/>
  <c r="H167" i="342"/>
  <c r="G167" i="342"/>
  <c r="F167" i="342"/>
  <c r="E167" i="342"/>
  <c r="D167" i="342"/>
  <c r="C167" i="342"/>
  <c r="J164" i="342"/>
  <c r="F164" i="342"/>
  <c r="A163" i="342"/>
  <c r="A331" i="342" s="1"/>
  <c r="A162" i="342"/>
  <c r="A330" i="342" s="1"/>
  <c r="A161" i="342"/>
  <c r="A329" i="342" s="1"/>
  <c r="A160" i="342"/>
  <c r="A328" i="342" s="1"/>
  <c r="A159" i="342"/>
  <c r="A327" i="342" s="1"/>
  <c r="A158" i="342"/>
  <c r="A326" i="342" s="1"/>
  <c r="A157" i="342"/>
  <c r="A325" i="342" s="1"/>
  <c r="A156" i="342"/>
  <c r="A324" i="342" s="1"/>
  <c r="A155" i="342"/>
  <c r="A323" i="342" s="1"/>
  <c r="A154" i="342"/>
  <c r="A322" i="342" s="1"/>
  <c r="K153" i="342"/>
  <c r="J153" i="342"/>
  <c r="I153" i="342"/>
  <c r="H153" i="342"/>
  <c r="G153" i="342"/>
  <c r="F153" i="342"/>
  <c r="E153" i="342"/>
  <c r="D153" i="342"/>
  <c r="C153" i="342"/>
  <c r="A153" i="342"/>
  <c r="A321" i="342" s="1"/>
  <c r="A152" i="342"/>
  <c r="A320" i="342" s="1"/>
  <c r="A151" i="342"/>
  <c r="A319" i="342" s="1"/>
  <c r="A150" i="342"/>
  <c r="A318" i="342" s="1"/>
  <c r="A149" i="342"/>
  <c r="A317" i="342" s="1"/>
  <c r="A148" i="342"/>
  <c r="A316" i="342" s="1"/>
  <c r="A147" i="342"/>
  <c r="A315" i="342" s="1"/>
  <c r="A146" i="342"/>
  <c r="A314" i="342" s="1"/>
  <c r="A145" i="342"/>
  <c r="A313" i="342" s="1"/>
  <c r="A144" i="342"/>
  <c r="A312" i="342" s="1"/>
  <c r="A143" i="342"/>
  <c r="A311" i="342" s="1"/>
  <c r="K142" i="342"/>
  <c r="J142" i="342"/>
  <c r="I142" i="342"/>
  <c r="H142" i="342"/>
  <c r="G142" i="342"/>
  <c r="F142" i="342"/>
  <c r="E142" i="342"/>
  <c r="D142" i="342"/>
  <c r="C142" i="342"/>
  <c r="A142" i="342"/>
  <c r="A310" i="342" s="1"/>
  <c r="A141" i="342"/>
  <c r="A309" i="342" s="1"/>
  <c r="A140" i="342"/>
  <c r="A308" i="342" s="1"/>
  <c r="A139" i="342"/>
  <c r="A307" i="342" s="1"/>
  <c r="A138" i="342"/>
  <c r="A306" i="342" s="1"/>
  <c r="A137" i="342"/>
  <c r="A305" i="342" s="1"/>
  <c r="A136" i="342"/>
  <c r="A304" i="342" s="1"/>
  <c r="A135" i="342"/>
  <c r="A303" i="342" s="1"/>
  <c r="A134" i="342"/>
  <c r="A302" i="342" s="1"/>
  <c r="A133" i="342"/>
  <c r="A301" i="342" s="1"/>
  <c r="A132" i="342"/>
  <c r="A300" i="342" s="1"/>
  <c r="K131" i="342"/>
  <c r="J131" i="342"/>
  <c r="I131" i="342"/>
  <c r="H131" i="342"/>
  <c r="G131" i="342"/>
  <c r="F131" i="342"/>
  <c r="E131" i="342"/>
  <c r="D131" i="342"/>
  <c r="C131" i="342"/>
  <c r="A131" i="342"/>
  <c r="A299" i="342" s="1"/>
  <c r="A130" i="342"/>
  <c r="A298" i="342" s="1"/>
  <c r="A129" i="342"/>
  <c r="A297" i="342" s="1"/>
  <c r="A128" i="342"/>
  <c r="A296" i="342" s="1"/>
  <c r="A127" i="342"/>
  <c r="A295" i="342" s="1"/>
  <c r="A126" i="342"/>
  <c r="A294" i="342" s="1"/>
  <c r="A125" i="342"/>
  <c r="A293" i="342" s="1"/>
  <c r="A124" i="342"/>
  <c r="A292" i="342" s="1"/>
  <c r="A123" i="342"/>
  <c r="A291" i="342" s="1"/>
  <c r="A122" i="342"/>
  <c r="A290" i="342" s="1"/>
  <c r="A121" i="342"/>
  <c r="A289" i="342" s="1"/>
  <c r="K120" i="342"/>
  <c r="J120" i="342"/>
  <c r="I120" i="342"/>
  <c r="H120" i="342"/>
  <c r="G120" i="342"/>
  <c r="F120" i="342"/>
  <c r="E120" i="342"/>
  <c r="D120" i="342"/>
  <c r="C120" i="342"/>
  <c r="A120" i="342"/>
  <c r="A288" i="342" s="1"/>
  <c r="A119" i="342"/>
  <c r="A287" i="342" s="1"/>
  <c r="A118" i="342"/>
  <c r="A286" i="342" s="1"/>
  <c r="A117" i="342"/>
  <c r="A285" i="342" s="1"/>
  <c r="A116" i="342"/>
  <c r="A284" i="342" s="1"/>
  <c r="A115" i="342"/>
  <c r="A283" i="342" s="1"/>
  <c r="A114" i="342"/>
  <c r="A282" i="342" s="1"/>
  <c r="A113" i="342"/>
  <c r="A281" i="342" s="1"/>
  <c r="A112" i="342"/>
  <c r="A280" i="342" s="1"/>
  <c r="A111" i="342"/>
  <c r="A279" i="342" s="1"/>
  <c r="A110" i="342"/>
  <c r="A278" i="342" s="1"/>
  <c r="K109" i="342"/>
  <c r="J109" i="342"/>
  <c r="I109" i="342"/>
  <c r="H109" i="342"/>
  <c r="G109" i="342"/>
  <c r="F109" i="342"/>
  <c r="E109" i="342"/>
  <c r="D109" i="342"/>
  <c r="C109" i="342"/>
  <c r="A109" i="342"/>
  <c r="A277" i="342" s="1"/>
  <c r="A108" i="342"/>
  <c r="A276" i="342" s="1"/>
  <c r="A107" i="342"/>
  <c r="A275" i="342" s="1"/>
  <c r="A106" i="342"/>
  <c r="A274" i="342" s="1"/>
  <c r="A105" i="342"/>
  <c r="A273" i="342" s="1"/>
  <c r="A104" i="342"/>
  <c r="A272" i="342" s="1"/>
  <c r="A103" i="342"/>
  <c r="A271" i="342" s="1"/>
  <c r="A102" i="342"/>
  <c r="A270" i="342" s="1"/>
  <c r="A101" i="342"/>
  <c r="A269" i="342" s="1"/>
  <c r="A100" i="342"/>
  <c r="A268" i="342" s="1"/>
  <c r="A99" i="342"/>
  <c r="A267" i="342" s="1"/>
  <c r="K98" i="342"/>
  <c r="J98" i="342"/>
  <c r="I98" i="342"/>
  <c r="H98" i="342"/>
  <c r="G98" i="342"/>
  <c r="F98" i="342"/>
  <c r="E98" i="342"/>
  <c r="D98" i="342"/>
  <c r="C98" i="342"/>
  <c r="A98" i="342"/>
  <c r="A266" i="342" s="1"/>
  <c r="A97" i="342"/>
  <c r="A265" i="342" s="1"/>
  <c r="A96" i="342"/>
  <c r="A264" i="342" s="1"/>
  <c r="A95" i="342"/>
  <c r="A263" i="342" s="1"/>
  <c r="A94" i="342"/>
  <c r="A262" i="342" s="1"/>
  <c r="A93" i="342"/>
  <c r="A261" i="342" s="1"/>
  <c r="A92" i="342"/>
  <c r="A260" i="342" s="1"/>
  <c r="A91" i="342"/>
  <c r="A259" i="342" s="1"/>
  <c r="A90" i="342"/>
  <c r="A258" i="342" s="1"/>
  <c r="A89" i="342"/>
  <c r="A257" i="342" s="1"/>
  <c r="A88" i="342"/>
  <c r="A256" i="342" s="1"/>
  <c r="K87" i="342"/>
  <c r="J87" i="342"/>
  <c r="I87" i="342"/>
  <c r="H87" i="342"/>
  <c r="G87" i="342"/>
  <c r="F87" i="342"/>
  <c r="E87" i="342"/>
  <c r="D87" i="342"/>
  <c r="C87" i="342"/>
  <c r="A87" i="342"/>
  <c r="A255" i="342" s="1"/>
  <c r="A86" i="342"/>
  <c r="A254" i="342" s="1"/>
  <c r="A85" i="342"/>
  <c r="A253" i="342" s="1"/>
  <c r="A84" i="342"/>
  <c r="A252" i="342" s="1"/>
  <c r="A83" i="342"/>
  <c r="A251" i="342" s="1"/>
  <c r="A82" i="342"/>
  <c r="A250" i="342" s="1"/>
  <c r="A81" i="342"/>
  <c r="A249" i="342" s="1"/>
  <c r="A80" i="342"/>
  <c r="A248" i="342" s="1"/>
  <c r="A79" i="342"/>
  <c r="A247" i="342" s="1"/>
  <c r="A78" i="342"/>
  <c r="A246" i="342" s="1"/>
  <c r="A77" i="342"/>
  <c r="A245" i="342" s="1"/>
  <c r="K76" i="342"/>
  <c r="J76" i="342"/>
  <c r="I76" i="342"/>
  <c r="H76" i="342"/>
  <c r="G76" i="342"/>
  <c r="F76" i="342"/>
  <c r="E76" i="342"/>
  <c r="D76" i="342"/>
  <c r="C76" i="342"/>
  <c r="A76" i="342"/>
  <c r="A244" i="342" s="1"/>
  <c r="A75" i="342"/>
  <c r="A243" i="342" s="1"/>
  <c r="A74" i="342"/>
  <c r="A242" i="342" s="1"/>
  <c r="A73" i="342"/>
  <c r="A241" i="342" s="1"/>
  <c r="A72" i="342"/>
  <c r="A240" i="342" s="1"/>
  <c r="A71" i="342"/>
  <c r="A239" i="342" s="1"/>
  <c r="A70" i="342"/>
  <c r="A69" i="342"/>
  <c r="K68" i="342"/>
  <c r="J68" i="342"/>
  <c r="I68" i="342"/>
  <c r="H68" i="342"/>
  <c r="G68" i="342"/>
  <c r="F68" i="342"/>
  <c r="E68" i="342"/>
  <c r="D68" i="342"/>
  <c r="C68" i="342"/>
  <c r="A68" i="342"/>
  <c r="A67" i="342"/>
  <c r="A232" i="342" s="1"/>
  <c r="A66" i="342"/>
  <c r="A231" i="342" s="1"/>
  <c r="A65" i="342"/>
  <c r="A64" i="342"/>
  <c r="A229" i="342" s="1"/>
  <c r="A63" i="342"/>
  <c r="A226" i="342" s="1"/>
  <c r="A62" i="342"/>
  <c r="A224" i="342" s="1"/>
  <c r="A61" i="342"/>
  <c r="A223" i="342" s="1"/>
  <c r="K60" i="342"/>
  <c r="J60" i="342"/>
  <c r="I60" i="342"/>
  <c r="H60" i="342"/>
  <c r="G60" i="342"/>
  <c r="F60" i="342"/>
  <c r="E60" i="342"/>
  <c r="D60" i="342"/>
  <c r="C60" i="342"/>
  <c r="A60" i="342"/>
  <c r="A59" i="342"/>
  <c r="A221" i="342" s="1"/>
  <c r="A58" i="342"/>
  <c r="A220" i="342" s="1"/>
  <c r="A57" i="342"/>
  <c r="A219" i="342" s="1"/>
  <c r="A56" i="342"/>
  <c r="A218" i="342" s="1"/>
  <c r="A55" i="342"/>
  <c r="A217" i="342" s="1"/>
  <c r="A54" i="342"/>
  <c r="A216" i="342" s="1"/>
  <c r="A53" i="342"/>
  <c r="A215" i="342" s="1"/>
  <c r="A52" i="342"/>
  <c r="A51" i="342"/>
  <c r="A213" i="342" s="1"/>
  <c r="A50" i="342"/>
  <c r="A212" i="342" s="1"/>
  <c r="K49" i="342"/>
  <c r="J49" i="342"/>
  <c r="I49" i="342"/>
  <c r="H49" i="342"/>
  <c r="G49" i="342"/>
  <c r="F49" i="342"/>
  <c r="E49" i="342"/>
  <c r="D49" i="342"/>
  <c r="C49" i="342"/>
  <c r="A49" i="342"/>
  <c r="A211" i="342" s="1"/>
  <c r="A48" i="342"/>
  <c r="A210" i="342" s="1"/>
  <c r="A47" i="342"/>
  <c r="A46" i="342"/>
  <c r="A208" i="342" s="1"/>
  <c r="A45" i="342"/>
  <c r="A207" i="342" s="1"/>
  <c r="A44" i="342"/>
  <c r="A206" i="342" s="1"/>
  <c r="A43" i="342"/>
  <c r="A205" i="342" s="1"/>
  <c r="A42" i="342"/>
  <c r="A204" i="342" s="1"/>
  <c r="A41" i="342"/>
  <c r="A203" i="342" s="1"/>
  <c r="A40" i="342"/>
  <c r="A202" i="342" s="1"/>
  <c r="A39" i="342"/>
  <c r="K38" i="342"/>
  <c r="J38" i="342"/>
  <c r="I38" i="342"/>
  <c r="H38" i="342"/>
  <c r="G38" i="342"/>
  <c r="F38" i="342"/>
  <c r="E38" i="342"/>
  <c r="D38" i="342"/>
  <c r="C38" i="342"/>
  <c r="A38" i="342"/>
  <c r="A200" i="342" s="1"/>
  <c r="A37" i="342"/>
  <c r="A199" i="342" s="1"/>
  <c r="A36" i="342"/>
  <c r="A198" i="342" s="1"/>
  <c r="A35" i="342"/>
  <c r="A197" i="342" s="1"/>
  <c r="A34" i="342"/>
  <c r="A33" i="342"/>
  <c r="A195" i="342" s="1"/>
  <c r="A32" i="342"/>
  <c r="A194" i="342" s="1"/>
  <c r="A31" i="342"/>
  <c r="A193" i="342" s="1"/>
  <c r="A30" i="342"/>
  <c r="A192" i="342" s="1"/>
  <c r="A29" i="342"/>
  <c r="A191" i="342" s="1"/>
  <c r="A28" i="342"/>
  <c r="A190" i="342" s="1"/>
  <c r="K27" i="342"/>
  <c r="K164" i="342" s="1"/>
  <c r="J27" i="342"/>
  <c r="I27" i="342"/>
  <c r="I164" i="342" s="1"/>
  <c r="H27" i="342"/>
  <c r="H164" i="342" s="1"/>
  <c r="G27" i="342"/>
  <c r="F27" i="342"/>
  <c r="E27" i="342"/>
  <c r="D27" i="342"/>
  <c r="C27" i="342"/>
  <c r="A27" i="342"/>
  <c r="A189" i="342" s="1"/>
  <c r="A26" i="342"/>
  <c r="A188" i="342" s="1"/>
  <c r="A25" i="342"/>
  <c r="A187" i="342" s="1"/>
  <c r="A24" i="342"/>
  <c r="A186" i="342" s="1"/>
  <c r="A23" i="342"/>
  <c r="A185" i="342" s="1"/>
  <c r="A22" i="342"/>
  <c r="A184" i="342" s="1"/>
  <c r="A21" i="342"/>
  <c r="A183" i="342" s="1"/>
  <c r="A20" i="342"/>
  <c r="A182" i="342" s="1"/>
  <c r="A19" i="342"/>
  <c r="A181" i="342" s="1"/>
  <c r="A18" i="342"/>
  <c r="A180" i="342" s="1"/>
  <c r="A17" i="342"/>
  <c r="A179" i="342" s="1"/>
  <c r="K16" i="342"/>
  <c r="J16" i="342"/>
  <c r="I16" i="342"/>
  <c r="H16" i="342"/>
  <c r="G16" i="342"/>
  <c r="F16" i="342"/>
  <c r="E16" i="342"/>
  <c r="D16" i="342"/>
  <c r="C16" i="342"/>
  <c r="A16" i="342"/>
  <c r="A178" i="342" s="1"/>
  <c r="A15" i="342"/>
  <c r="A177" i="342" s="1"/>
  <c r="A14" i="342"/>
  <c r="A176" i="342" s="1"/>
  <c r="A13" i="342"/>
  <c r="A175" i="342" s="1"/>
  <c r="A12" i="342"/>
  <c r="A174" i="342" s="1"/>
  <c r="A11" i="342"/>
  <c r="A173" i="342" s="1"/>
  <c r="A10" i="342"/>
  <c r="A172" i="342" s="1"/>
  <c r="A9" i="342"/>
  <c r="A171" i="342" s="1"/>
  <c r="A8" i="342"/>
  <c r="A170" i="342" s="1"/>
  <c r="A7" i="342"/>
  <c r="A169" i="342" s="1"/>
  <c r="A6" i="342"/>
  <c r="A168" i="342" s="1"/>
  <c r="K5" i="342"/>
  <c r="J5" i="342"/>
  <c r="I5" i="342"/>
  <c r="H5" i="342"/>
  <c r="G5" i="342"/>
  <c r="F5" i="342"/>
  <c r="E5" i="342"/>
  <c r="D5" i="342"/>
  <c r="C5" i="342"/>
  <c r="A5" i="342"/>
  <c r="A167" i="342" s="1"/>
  <c r="K3" i="342"/>
  <c r="J3" i="342"/>
  <c r="I3" i="342"/>
  <c r="H3" i="342"/>
  <c r="G3" i="342"/>
  <c r="F3" i="342"/>
  <c r="E3" i="342"/>
  <c r="D3" i="342"/>
  <c r="C3" i="342"/>
  <c r="I2" i="342"/>
  <c r="F2" i="342"/>
  <c r="E2" i="342"/>
  <c r="D2" i="342"/>
  <c r="C2" i="342"/>
  <c r="B2" i="342"/>
  <c r="A2" i="342"/>
  <c r="A1" i="342"/>
  <c r="G164" i="342" l="1"/>
  <c r="E164" i="342"/>
  <c r="C164" i="342"/>
  <c r="D164" i="342"/>
  <c r="D340" i="342" s="1"/>
  <c r="F332" i="342"/>
  <c r="F334" i="342" s="1"/>
  <c r="C332" i="342"/>
  <c r="G332" i="342"/>
  <c r="G334" i="342" s="1"/>
  <c r="H332" i="342"/>
  <c r="H334" i="342" s="1"/>
  <c r="I332" i="342"/>
  <c r="I334" i="342" s="1"/>
  <c r="E332" i="342"/>
  <c r="D332" i="342"/>
  <c r="J332" i="342"/>
  <c r="J334" i="342" s="1"/>
  <c r="K332" i="342"/>
  <c r="K334" i="342" s="1"/>
  <c r="X340" i="343"/>
  <c r="X341" i="343" s="1"/>
  <c r="W340" i="343"/>
  <c r="W341" i="343" s="1"/>
  <c r="V340" i="343"/>
  <c r="V341" i="343"/>
  <c r="X252" i="343"/>
  <c r="W252" i="343"/>
  <c r="V252" i="343"/>
  <c r="X230" i="343"/>
  <c r="W230" i="343"/>
  <c r="V230" i="343"/>
  <c r="X219" i="343"/>
  <c r="W219" i="343"/>
  <c r="V219" i="343"/>
  <c r="X208" i="343"/>
  <c r="W208" i="343"/>
  <c r="V208" i="343"/>
  <c r="X197" i="343"/>
  <c r="W197" i="343"/>
  <c r="V197" i="343"/>
  <c r="X186" i="343"/>
  <c r="W186" i="343"/>
  <c r="V186" i="343"/>
  <c r="I186" i="343"/>
  <c r="J10" i="315"/>
  <c r="I10" i="315"/>
  <c r="H10" i="315"/>
  <c r="E334" i="342" l="1"/>
  <c r="C334" i="342"/>
  <c r="D334" i="342"/>
  <c r="A335" i="342"/>
  <c r="W332" i="342"/>
  <c r="V332" i="342"/>
  <c r="U332" i="342"/>
  <c r="T332" i="342"/>
  <c r="S332" i="342"/>
  <c r="R332" i="342"/>
  <c r="Q332" i="342"/>
  <c r="P332" i="342"/>
  <c r="O332" i="342"/>
  <c r="N332" i="342"/>
  <c r="M332" i="342"/>
  <c r="L332" i="342"/>
  <c r="H341" i="342"/>
  <c r="G341" i="342"/>
  <c r="F341" i="342"/>
  <c r="D341" i="342"/>
  <c r="C341" i="342"/>
  <c r="W164" i="342"/>
  <c r="W334" i="342" s="1"/>
  <c r="V164" i="342"/>
  <c r="V334" i="342" s="1"/>
  <c r="U164" i="342"/>
  <c r="U334" i="342" s="1"/>
  <c r="T164" i="342"/>
  <c r="T334" i="342" s="1"/>
  <c r="S164" i="342"/>
  <c r="S334" i="342" s="1"/>
  <c r="R164" i="342"/>
  <c r="R334" i="342" s="1"/>
  <c r="Q164" i="342"/>
  <c r="Q334" i="342" s="1"/>
  <c r="P164" i="342"/>
  <c r="P334" i="342" s="1"/>
  <c r="O164" i="342"/>
  <c r="O334" i="342" s="1"/>
  <c r="N164" i="342"/>
  <c r="N334" i="342" s="1"/>
  <c r="M164" i="342"/>
  <c r="M334" i="342" s="1"/>
  <c r="L164" i="342"/>
  <c r="L334" i="342" s="1"/>
  <c r="W3" i="342"/>
  <c r="V3" i="342"/>
  <c r="U3" i="342"/>
  <c r="T3" i="342"/>
  <c r="S3" i="342"/>
  <c r="R3" i="342"/>
  <c r="Q3" i="342"/>
  <c r="P3" i="342"/>
  <c r="O3" i="342"/>
  <c r="N3" i="342"/>
  <c r="M3" i="342"/>
  <c r="L3" i="342"/>
  <c r="L2" i="342"/>
  <c r="A141" i="351"/>
  <c r="A140" i="351"/>
  <c r="A139" i="351"/>
  <c r="A138" i="351"/>
  <c r="A137" i="351"/>
  <c r="A136" i="351"/>
  <c r="A135" i="351"/>
  <c r="K134" i="351"/>
  <c r="J134" i="351"/>
  <c r="I134" i="351"/>
  <c r="H134" i="351"/>
  <c r="G134" i="351"/>
  <c r="F134" i="351"/>
  <c r="E134" i="351"/>
  <c r="D134" i="351"/>
  <c r="C134" i="351"/>
  <c r="A134" i="351"/>
  <c r="A133" i="351"/>
  <c r="K132" i="351"/>
  <c r="J132" i="351"/>
  <c r="I132" i="351"/>
  <c r="H132" i="351"/>
  <c r="G132" i="351"/>
  <c r="F132" i="351"/>
  <c r="E132" i="351"/>
  <c r="D132" i="351"/>
  <c r="C132" i="351"/>
  <c r="A132" i="351"/>
  <c r="A131" i="351"/>
  <c r="A130" i="351"/>
  <c r="A129" i="351"/>
  <c r="K128" i="351"/>
  <c r="J128" i="351"/>
  <c r="I128" i="351"/>
  <c r="H128" i="351"/>
  <c r="G128" i="351"/>
  <c r="F128" i="351"/>
  <c r="E128" i="351"/>
  <c r="D128" i="351"/>
  <c r="C128" i="351"/>
  <c r="A128" i="351"/>
  <c r="A127" i="351"/>
  <c r="A126" i="351"/>
  <c r="K125" i="351"/>
  <c r="J125" i="351"/>
  <c r="I125" i="351"/>
  <c r="H125" i="351"/>
  <c r="G125" i="351"/>
  <c r="F125" i="351"/>
  <c r="E125" i="351"/>
  <c r="D125" i="351"/>
  <c r="C125" i="351"/>
  <c r="A125" i="351"/>
  <c r="A124" i="351"/>
  <c r="A123" i="351"/>
  <c r="K122" i="351"/>
  <c r="J122" i="351"/>
  <c r="I122" i="351"/>
  <c r="H122" i="351"/>
  <c r="H121" i="351" s="1"/>
  <c r="G122" i="351"/>
  <c r="F122" i="351"/>
  <c r="E122" i="351"/>
  <c r="D122" i="351"/>
  <c r="C122" i="351"/>
  <c r="A122" i="351"/>
  <c r="K121" i="351"/>
  <c r="J121" i="351"/>
  <c r="G121" i="351"/>
  <c r="F121" i="351"/>
  <c r="A121" i="351"/>
  <c r="A120" i="351"/>
  <c r="A119" i="351"/>
  <c r="A118" i="351"/>
  <c r="K117" i="351"/>
  <c r="J117" i="351"/>
  <c r="I117" i="351"/>
  <c r="H117" i="351"/>
  <c r="G117" i="351"/>
  <c r="F117" i="351"/>
  <c r="E117" i="351"/>
  <c r="D117" i="351"/>
  <c r="C117" i="351"/>
  <c r="A117" i="351"/>
  <c r="A116" i="351"/>
  <c r="A115" i="351"/>
  <c r="A114" i="351"/>
  <c r="A113" i="351"/>
  <c r="A112" i="351"/>
  <c r="K111" i="351"/>
  <c r="K106" i="351" s="1"/>
  <c r="J111" i="351"/>
  <c r="J106" i="351" s="1"/>
  <c r="I111" i="351"/>
  <c r="I106" i="351" s="1"/>
  <c r="H111" i="351"/>
  <c r="G111" i="351"/>
  <c r="G106" i="351" s="1"/>
  <c r="F111" i="351"/>
  <c r="E111" i="351"/>
  <c r="D111" i="351"/>
  <c r="C111" i="351"/>
  <c r="A111" i="351"/>
  <c r="A110" i="351"/>
  <c r="A109" i="351"/>
  <c r="A108" i="351"/>
  <c r="K107" i="351"/>
  <c r="J107" i="351"/>
  <c r="I107" i="351"/>
  <c r="H107" i="351"/>
  <c r="H106" i="351" s="1"/>
  <c r="G107" i="351"/>
  <c r="F107" i="351"/>
  <c r="E107" i="351"/>
  <c r="D107" i="351"/>
  <c r="C107" i="351"/>
  <c r="A107" i="351"/>
  <c r="F106" i="351"/>
  <c r="A106" i="351"/>
  <c r="A105" i="351"/>
  <c r="A104" i="351"/>
  <c r="A103" i="351"/>
  <c r="K102" i="351"/>
  <c r="J102" i="351"/>
  <c r="I102" i="351"/>
  <c r="H102" i="351"/>
  <c r="G102" i="351"/>
  <c r="F102" i="351"/>
  <c r="E102" i="351"/>
  <c r="D102" i="351"/>
  <c r="C102" i="351"/>
  <c r="A102" i="351"/>
  <c r="A101" i="351"/>
  <c r="A100" i="351"/>
  <c r="A99" i="351"/>
  <c r="A98" i="351"/>
  <c r="A97" i="351"/>
  <c r="A96" i="351"/>
  <c r="K95" i="351"/>
  <c r="K84" i="351" s="1"/>
  <c r="J95" i="351"/>
  <c r="I95" i="351"/>
  <c r="H95" i="351"/>
  <c r="G95" i="351"/>
  <c r="G84" i="351" s="1"/>
  <c r="F95" i="351"/>
  <c r="E95" i="351"/>
  <c r="D95" i="351"/>
  <c r="C95" i="351"/>
  <c r="A95" i="351"/>
  <c r="A94" i="351"/>
  <c r="A93" i="351"/>
  <c r="A92" i="351"/>
  <c r="A91" i="351"/>
  <c r="A90" i="351"/>
  <c r="A89" i="351"/>
  <c r="A88" i="351"/>
  <c r="A87" i="351"/>
  <c r="A86" i="351"/>
  <c r="K85" i="351"/>
  <c r="J85" i="351"/>
  <c r="J84" i="351" s="1"/>
  <c r="I85" i="351"/>
  <c r="I84" i="351" s="1"/>
  <c r="H85" i="351"/>
  <c r="G85" i="351"/>
  <c r="F85" i="351"/>
  <c r="F84" i="351" s="1"/>
  <c r="E85" i="351"/>
  <c r="D85" i="351"/>
  <c r="C85" i="351"/>
  <c r="A85" i="351"/>
  <c r="H84" i="351"/>
  <c r="D84" i="351"/>
  <c r="A84" i="351"/>
  <c r="A83" i="351"/>
  <c r="A82" i="351"/>
  <c r="A81" i="351"/>
  <c r="A80" i="351"/>
  <c r="K79" i="351"/>
  <c r="J79" i="351"/>
  <c r="J74" i="351" s="1"/>
  <c r="H79" i="351"/>
  <c r="G79" i="351"/>
  <c r="F79" i="351"/>
  <c r="F74" i="351" s="1"/>
  <c r="E79" i="351"/>
  <c r="D79" i="351"/>
  <c r="C79" i="351"/>
  <c r="A79" i="351"/>
  <c r="A78" i="351"/>
  <c r="A77" i="351"/>
  <c r="A76" i="351"/>
  <c r="K75" i="351"/>
  <c r="K74" i="351" s="1"/>
  <c r="J75" i="351"/>
  <c r="I75" i="351"/>
  <c r="H75" i="351"/>
  <c r="G75" i="351"/>
  <c r="G74" i="351" s="1"/>
  <c r="F75" i="351"/>
  <c r="E75" i="351"/>
  <c r="D75" i="351"/>
  <c r="D74" i="351" s="1"/>
  <c r="C75" i="351"/>
  <c r="C74" i="351" s="1"/>
  <c r="A75" i="351"/>
  <c r="H74" i="351"/>
  <c r="A74" i="351"/>
  <c r="A71" i="351"/>
  <c r="K65" i="351"/>
  <c r="J65" i="351"/>
  <c r="I65" i="351"/>
  <c r="H65" i="351"/>
  <c r="G65" i="351"/>
  <c r="F65" i="351"/>
  <c r="E65" i="351"/>
  <c r="D65" i="351"/>
  <c r="C65" i="351"/>
  <c r="K63" i="351"/>
  <c r="J63" i="351"/>
  <c r="I63" i="351"/>
  <c r="H63" i="351"/>
  <c r="G63" i="351"/>
  <c r="F63" i="351"/>
  <c r="E63" i="351"/>
  <c r="D63" i="351"/>
  <c r="C63" i="351"/>
  <c r="K59" i="351"/>
  <c r="K52" i="351" s="1"/>
  <c r="J59" i="351"/>
  <c r="I59" i="351"/>
  <c r="H59" i="351"/>
  <c r="G59" i="351"/>
  <c r="G52" i="351" s="1"/>
  <c r="F59" i="351"/>
  <c r="E59" i="351"/>
  <c r="D59" i="351"/>
  <c r="C59" i="351"/>
  <c r="K56" i="351"/>
  <c r="J56" i="351"/>
  <c r="I56" i="351"/>
  <c r="H56" i="351"/>
  <c r="H52" i="351" s="1"/>
  <c r="G56" i="351"/>
  <c r="F56" i="351"/>
  <c r="E56" i="351"/>
  <c r="D56" i="351"/>
  <c r="C56" i="351"/>
  <c r="K53" i="351"/>
  <c r="J53" i="351"/>
  <c r="I53" i="351"/>
  <c r="I52" i="351" s="1"/>
  <c r="H53" i="351"/>
  <c r="G53" i="351"/>
  <c r="F53" i="351"/>
  <c r="E53" i="351"/>
  <c r="D53" i="351"/>
  <c r="C53" i="351"/>
  <c r="J52" i="351"/>
  <c r="F52" i="351"/>
  <c r="K48" i="351"/>
  <c r="K37" i="351" s="1"/>
  <c r="J48" i="351"/>
  <c r="I48" i="351"/>
  <c r="H48" i="351"/>
  <c r="G48" i="351"/>
  <c r="G37" i="351" s="1"/>
  <c r="F48" i="351"/>
  <c r="E48" i="351"/>
  <c r="D48" i="351"/>
  <c r="C48" i="351"/>
  <c r="K42" i="351"/>
  <c r="J42" i="351"/>
  <c r="I42" i="351"/>
  <c r="H42" i="351"/>
  <c r="H37" i="351" s="1"/>
  <c r="G42" i="351"/>
  <c r="F42" i="351"/>
  <c r="E42" i="351"/>
  <c r="D42" i="351"/>
  <c r="D37" i="351" s="1"/>
  <c r="C42" i="351"/>
  <c r="K38" i="351"/>
  <c r="J38" i="351"/>
  <c r="I38" i="351"/>
  <c r="I37" i="351" s="1"/>
  <c r="H38" i="351"/>
  <c r="G38" i="351"/>
  <c r="F38" i="351"/>
  <c r="E38" i="351"/>
  <c r="D38" i="351"/>
  <c r="C38" i="351"/>
  <c r="J37" i="351"/>
  <c r="F37" i="351"/>
  <c r="K33" i="351"/>
  <c r="K15" i="351" s="1"/>
  <c r="J33" i="351"/>
  <c r="I33" i="351"/>
  <c r="H33" i="351"/>
  <c r="G33" i="351"/>
  <c r="G15" i="351" s="1"/>
  <c r="F33" i="351"/>
  <c r="E33" i="351"/>
  <c r="D33" i="351"/>
  <c r="C33" i="351"/>
  <c r="K26" i="351"/>
  <c r="J26" i="351"/>
  <c r="I26" i="351"/>
  <c r="H26" i="351"/>
  <c r="H15" i="351" s="1"/>
  <c r="G26" i="351"/>
  <c r="F26" i="351"/>
  <c r="E26" i="351"/>
  <c r="D26" i="351"/>
  <c r="C26" i="351"/>
  <c r="K16" i="351"/>
  <c r="J16" i="351"/>
  <c r="I16" i="351"/>
  <c r="I15" i="351" s="1"/>
  <c r="H16" i="351"/>
  <c r="G16" i="351"/>
  <c r="F16" i="351"/>
  <c r="E16" i="351"/>
  <c r="E15" i="351" s="1"/>
  <c r="D16" i="351"/>
  <c r="C16" i="351"/>
  <c r="J15" i="351"/>
  <c r="F15" i="351"/>
  <c r="K10" i="351"/>
  <c r="K5" i="351" s="1"/>
  <c r="J10" i="351"/>
  <c r="I10" i="351"/>
  <c r="H10" i="351"/>
  <c r="G10" i="351"/>
  <c r="G5" i="351" s="1"/>
  <c r="F10" i="351"/>
  <c r="E10" i="351"/>
  <c r="D10" i="351"/>
  <c r="C10" i="351"/>
  <c r="K6" i="351"/>
  <c r="J6" i="351"/>
  <c r="I6" i="351"/>
  <c r="H6" i="351"/>
  <c r="H5" i="351" s="1"/>
  <c r="G6" i="351"/>
  <c r="F6" i="351"/>
  <c r="E6" i="351"/>
  <c r="D6" i="351"/>
  <c r="D5" i="351" s="1"/>
  <c r="C6" i="351"/>
  <c r="J5" i="351"/>
  <c r="J71" i="351" s="1"/>
  <c r="I5" i="351"/>
  <c r="F5" i="351"/>
  <c r="F71" i="351" s="1"/>
  <c r="E5" i="351"/>
  <c r="K3" i="351"/>
  <c r="J3" i="351"/>
  <c r="I3" i="351"/>
  <c r="H3" i="351"/>
  <c r="G3" i="351"/>
  <c r="F3" i="351"/>
  <c r="E3" i="351"/>
  <c r="D3" i="351"/>
  <c r="C3" i="351"/>
  <c r="I2" i="351"/>
  <c r="F2" i="351"/>
  <c r="E2" i="351"/>
  <c r="D2" i="351"/>
  <c r="C2" i="351"/>
  <c r="B2" i="351"/>
  <c r="A2" i="351"/>
  <c r="A1" i="351"/>
  <c r="D52" i="351" l="1"/>
  <c r="C52" i="351"/>
  <c r="D15" i="351"/>
  <c r="D71" i="351" s="1"/>
  <c r="C37" i="351"/>
  <c r="C15" i="351"/>
  <c r="C5" i="351"/>
  <c r="D121" i="351"/>
  <c r="C121" i="351"/>
  <c r="D106" i="351"/>
  <c r="C106" i="351"/>
  <c r="C84" i="351"/>
  <c r="E74" i="351"/>
  <c r="I121" i="351"/>
  <c r="E106" i="351"/>
  <c r="E37" i="351"/>
  <c r="E121" i="351"/>
  <c r="E52" i="351"/>
  <c r="E84" i="351"/>
  <c r="F340" i="342"/>
  <c r="H340" i="342"/>
  <c r="G340" i="342"/>
  <c r="G71" i="351"/>
  <c r="I71" i="351"/>
  <c r="G140" i="351"/>
  <c r="K140" i="351"/>
  <c r="F140" i="351"/>
  <c r="F141" i="351" s="1"/>
  <c r="J140" i="351"/>
  <c r="J141" i="351" s="1"/>
  <c r="H140" i="351"/>
  <c r="H71" i="351"/>
  <c r="K71" i="351"/>
  <c r="K141" i="351" s="1"/>
  <c r="D140" i="351"/>
  <c r="L4" i="314"/>
  <c r="M4" i="314"/>
  <c r="L9" i="314"/>
  <c r="M5" i="314"/>
  <c r="L5" i="314"/>
  <c r="K10" i="314"/>
  <c r="M9" i="314"/>
  <c r="K9" i="314"/>
  <c r="K7" i="314"/>
  <c r="K4" i="314"/>
  <c r="K5" i="314"/>
  <c r="M10" i="314"/>
  <c r="L10" i="314"/>
  <c r="H7" i="314"/>
  <c r="H4" i="314"/>
  <c r="J7" i="314"/>
  <c r="I7" i="314"/>
  <c r="J4" i="314"/>
  <c r="I4" i="314"/>
  <c r="K63" i="349"/>
  <c r="J63" i="349"/>
  <c r="I63" i="349"/>
  <c r="K41" i="349"/>
  <c r="J41" i="349"/>
  <c r="I41" i="349"/>
  <c r="K25" i="349"/>
  <c r="J25" i="349"/>
  <c r="I25" i="349"/>
  <c r="I8" i="349"/>
  <c r="K8" i="349"/>
  <c r="J8" i="349"/>
  <c r="K13" i="349"/>
  <c r="J13" i="349"/>
  <c r="I13" i="349"/>
  <c r="K55" i="349"/>
  <c r="J55" i="349"/>
  <c r="I55" i="349"/>
  <c r="K12" i="349"/>
  <c r="J12" i="349"/>
  <c r="I12" i="349"/>
  <c r="J54" i="349"/>
  <c r="I54" i="349"/>
  <c r="K60" i="349"/>
  <c r="J60" i="349"/>
  <c r="I60" i="349"/>
  <c r="C71" i="351" l="1"/>
  <c r="C140" i="351"/>
  <c r="D141" i="351"/>
  <c r="E140" i="351"/>
  <c r="E71" i="351"/>
  <c r="G141" i="351"/>
  <c r="H141" i="351"/>
  <c r="K52" i="134"/>
  <c r="J52" i="134"/>
  <c r="I52" i="134"/>
  <c r="K9" i="350"/>
  <c r="J9" i="350"/>
  <c r="I9" i="350"/>
  <c r="K8" i="350"/>
  <c r="J8" i="350"/>
  <c r="I8" i="350"/>
  <c r="I8" i="134"/>
  <c r="K63" i="134"/>
  <c r="J63" i="134"/>
  <c r="I63" i="134"/>
  <c r="K29" i="134"/>
  <c r="J29" i="134"/>
  <c r="I29" i="134"/>
  <c r="K56" i="350"/>
  <c r="J56" i="350"/>
  <c r="I56" i="350"/>
  <c r="I63" i="350"/>
  <c r="K63" i="350"/>
  <c r="J63" i="350"/>
  <c r="K28" i="350"/>
  <c r="J28" i="350"/>
  <c r="I28" i="350"/>
  <c r="K41" i="134"/>
  <c r="J41" i="134"/>
  <c r="I41" i="134"/>
  <c r="K74" i="134"/>
  <c r="J74" i="134"/>
  <c r="I74" i="134"/>
  <c r="K13" i="134"/>
  <c r="J13" i="134"/>
  <c r="I13" i="134"/>
  <c r="K25" i="134"/>
  <c r="J25" i="134"/>
  <c r="I25" i="134"/>
  <c r="K12" i="134"/>
  <c r="J12" i="134"/>
  <c r="I12" i="134"/>
  <c r="G63" i="134"/>
  <c r="H63" i="134"/>
  <c r="F63" i="134"/>
  <c r="H8" i="134"/>
  <c r="G8" i="134"/>
  <c r="F8" i="134"/>
  <c r="H41" i="134"/>
  <c r="G41" i="134"/>
  <c r="F41" i="134"/>
  <c r="H9" i="350"/>
  <c r="G9" i="350"/>
  <c r="F9" i="350"/>
  <c r="H52" i="134"/>
  <c r="G52" i="134"/>
  <c r="F52" i="134"/>
  <c r="H63" i="350"/>
  <c r="G63" i="350"/>
  <c r="F63" i="350"/>
  <c r="F56" i="134"/>
  <c r="H39" i="350"/>
  <c r="G39" i="350"/>
  <c r="F39" i="350"/>
  <c r="H28" i="350"/>
  <c r="G28" i="350"/>
  <c r="F28" i="350"/>
  <c r="H13" i="134"/>
  <c r="G13" i="134"/>
  <c r="F13" i="134"/>
  <c r="E20" i="246"/>
  <c r="H25" i="246"/>
  <c r="F34" i="246"/>
  <c r="F25" i="246"/>
  <c r="E34" i="246"/>
  <c r="E25" i="246"/>
  <c r="C34" i="246"/>
  <c r="C25" i="246"/>
  <c r="C141" i="351" l="1"/>
  <c r="E141" i="351"/>
  <c r="L10" i="256"/>
  <c r="L9" i="256"/>
  <c r="L7" i="256"/>
  <c r="L8" i="256"/>
  <c r="L12" i="256"/>
  <c r="F22" i="361" l="1"/>
  <c r="G22" i="361" s="1"/>
  <c r="F19" i="361"/>
  <c r="G19" i="361" s="1"/>
  <c r="F18" i="361"/>
  <c r="G18" i="361" s="1"/>
  <c r="F16" i="361"/>
  <c r="G16" i="361" s="1"/>
  <c r="F15" i="361"/>
  <c r="G15" i="361" s="1"/>
  <c r="F14" i="361"/>
  <c r="G14" i="361" s="1"/>
  <c r="F13" i="361"/>
  <c r="G13" i="361" s="1"/>
  <c r="F12" i="361"/>
  <c r="G12" i="361" s="1"/>
  <c r="F11" i="361"/>
  <c r="G11" i="361" s="1"/>
  <c r="F9" i="361"/>
  <c r="G9" i="361" s="1"/>
  <c r="F8" i="361"/>
  <c r="G8" i="361" s="1"/>
  <c r="F7" i="361"/>
  <c r="G7" i="361" s="1"/>
  <c r="F5" i="361"/>
  <c r="G5" i="361" s="1"/>
  <c r="G26" i="361"/>
  <c r="E41" i="358" l="1"/>
  <c r="E63" i="358"/>
  <c r="E52" i="358"/>
  <c r="E54" i="358"/>
  <c r="A7" i="347"/>
  <c r="A6" i="347"/>
  <c r="A8" i="347"/>
  <c r="M105" i="363"/>
  <c r="L105" i="363"/>
  <c r="J44" i="253" s="1"/>
  <c r="K105" i="363"/>
  <c r="J105" i="363"/>
  <c r="H44" i="253" s="1"/>
  <c r="I105" i="363"/>
  <c r="H105" i="363"/>
  <c r="F44" i="253"/>
  <c r="G105" i="363"/>
  <c r="F105" i="363"/>
  <c r="E105" i="363"/>
  <c r="C44" i="253" s="1"/>
  <c r="M104" i="363"/>
  <c r="K43" i="253" s="1"/>
  <c r="L104" i="363"/>
  <c r="K104" i="363"/>
  <c r="J104" i="363"/>
  <c r="I104" i="363"/>
  <c r="H104" i="363"/>
  <c r="G104" i="363"/>
  <c r="F104" i="363"/>
  <c r="E104" i="363"/>
  <c r="M103" i="363"/>
  <c r="L103" i="363"/>
  <c r="K103" i="363"/>
  <c r="J103" i="363"/>
  <c r="I103" i="363"/>
  <c r="H103" i="363"/>
  <c r="F42" i="253"/>
  <c r="G103" i="363"/>
  <c r="F103" i="363"/>
  <c r="E103" i="363"/>
  <c r="C42" i="253" s="1"/>
  <c r="M102" i="363"/>
  <c r="L102" i="363"/>
  <c r="K102" i="363"/>
  <c r="I41" i="253" s="1"/>
  <c r="J102" i="363"/>
  <c r="I102" i="363"/>
  <c r="G41" i="253" s="1"/>
  <c r="G45" i="253" s="1"/>
  <c r="F65" i="86" s="1"/>
  <c r="H102" i="363"/>
  <c r="F41" i="253" s="1"/>
  <c r="G102" i="363"/>
  <c r="E41" i="253"/>
  <c r="F102" i="363"/>
  <c r="E102" i="363"/>
  <c r="C41" i="253" s="1"/>
  <c r="M101" i="363"/>
  <c r="M106" i="363" s="1"/>
  <c r="L101" i="363"/>
  <c r="L106" i="363"/>
  <c r="K101" i="363"/>
  <c r="I40" i="253" s="1"/>
  <c r="J101" i="363"/>
  <c r="I101" i="363"/>
  <c r="G40" i="253" s="1"/>
  <c r="H101" i="363"/>
  <c r="H106" i="363" s="1"/>
  <c r="G101" i="363"/>
  <c r="F101" i="363"/>
  <c r="F106" i="363"/>
  <c r="E101" i="363"/>
  <c r="C40" i="253" s="1"/>
  <c r="C45" i="253" s="1"/>
  <c r="B65" i="86" s="1"/>
  <c r="M99" i="363"/>
  <c r="L99" i="363"/>
  <c r="J38" i="253"/>
  <c r="J39" i="253"/>
  <c r="K99" i="363"/>
  <c r="J99" i="363"/>
  <c r="H38" i="253"/>
  <c r="H39" i="253"/>
  <c r="I99" i="363"/>
  <c r="H99" i="363"/>
  <c r="H100" i="363" s="1"/>
  <c r="H107" i="363" s="1"/>
  <c r="G99" i="363"/>
  <c r="F99" i="363"/>
  <c r="F100" i="363" s="1"/>
  <c r="E99" i="363"/>
  <c r="M95" i="363"/>
  <c r="L95" i="363"/>
  <c r="J34" i="253" s="1"/>
  <c r="K95" i="363"/>
  <c r="J95" i="363"/>
  <c r="H34" i="253" s="1"/>
  <c r="H35" i="253" s="1"/>
  <c r="G64" i="86" s="1"/>
  <c r="I95" i="363"/>
  <c r="H95" i="363"/>
  <c r="F34" i="253" s="1"/>
  <c r="G95" i="363"/>
  <c r="E34" i="253" s="1"/>
  <c r="F95" i="363"/>
  <c r="D34" i="253" s="1"/>
  <c r="E95" i="363"/>
  <c r="M94" i="363"/>
  <c r="K33" i="253"/>
  <c r="L94" i="363"/>
  <c r="J33" i="253" s="1"/>
  <c r="K94" i="363"/>
  <c r="I33" i="253"/>
  <c r="J94" i="363"/>
  <c r="I94" i="363"/>
  <c r="G33" i="253"/>
  <c r="H94" i="363"/>
  <c r="G94" i="363"/>
  <c r="E33" i="253" s="1"/>
  <c r="F94" i="363"/>
  <c r="D33" i="253" s="1"/>
  <c r="E94" i="363"/>
  <c r="C33" i="253" s="1"/>
  <c r="M93" i="363"/>
  <c r="K32" i="253" s="1"/>
  <c r="L93" i="363"/>
  <c r="K93" i="363"/>
  <c r="I32" i="253" s="1"/>
  <c r="J93" i="363"/>
  <c r="I93" i="363"/>
  <c r="G32" i="253" s="1"/>
  <c r="H93" i="363"/>
  <c r="G93" i="363"/>
  <c r="E32" i="253"/>
  <c r="F93" i="363"/>
  <c r="D32" i="253" s="1"/>
  <c r="D35" i="253" s="1"/>
  <c r="C64" i="86" s="1"/>
  <c r="E93" i="363"/>
  <c r="M91" i="363"/>
  <c r="K30" i="253" s="1"/>
  <c r="L91" i="363"/>
  <c r="J30" i="253"/>
  <c r="K91" i="363"/>
  <c r="I30" i="253"/>
  <c r="J91" i="363"/>
  <c r="H30" i="253"/>
  <c r="I91" i="363"/>
  <c r="H91" i="363"/>
  <c r="F30" i="253" s="1"/>
  <c r="G91" i="363"/>
  <c r="F91" i="363"/>
  <c r="E91" i="363"/>
  <c r="M90" i="363"/>
  <c r="L90" i="363"/>
  <c r="K90" i="363"/>
  <c r="I29" i="253" s="1"/>
  <c r="J90" i="363"/>
  <c r="J92" i="363" s="1"/>
  <c r="J97" i="363" s="1"/>
  <c r="I90" i="363"/>
  <c r="G29" i="253" s="1"/>
  <c r="H90" i="363"/>
  <c r="G90" i="363"/>
  <c r="F90" i="363"/>
  <c r="F92" i="363" s="1"/>
  <c r="E90" i="363"/>
  <c r="E92" i="363"/>
  <c r="M86" i="363"/>
  <c r="L86" i="363"/>
  <c r="J25" i="253" s="1"/>
  <c r="K86" i="363"/>
  <c r="I25" i="253" s="1"/>
  <c r="J86" i="363"/>
  <c r="I86" i="363"/>
  <c r="G25" i="253" s="1"/>
  <c r="H86" i="363"/>
  <c r="G86" i="363"/>
  <c r="F86" i="363"/>
  <c r="M85" i="363"/>
  <c r="L85" i="363"/>
  <c r="J24" i="253" s="1"/>
  <c r="K85" i="363"/>
  <c r="J85" i="363"/>
  <c r="H24" i="253"/>
  <c r="I85" i="363"/>
  <c r="H85" i="363"/>
  <c r="F24" i="253" s="1"/>
  <c r="G85" i="363"/>
  <c r="E24" i="253" s="1"/>
  <c r="F85" i="363"/>
  <c r="D24" i="253"/>
  <c r="M84" i="363"/>
  <c r="L84" i="363"/>
  <c r="K84" i="363"/>
  <c r="J84" i="363"/>
  <c r="I84" i="363"/>
  <c r="H84" i="363"/>
  <c r="G84" i="363"/>
  <c r="E23" i="253"/>
  <c r="E26" i="253" s="1"/>
  <c r="D63" i="86" s="1"/>
  <c r="F84" i="363"/>
  <c r="E86" i="363"/>
  <c r="C25" i="253" s="1"/>
  <c r="E85" i="363"/>
  <c r="C24" i="253"/>
  <c r="E84" i="363"/>
  <c r="M82" i="363"/>
  <c r="K21" i="253" s="1"/>
  <c r="K22" i="253" s="1"/>
  <c r="L82" i="363"/>
  <c r="J21" i="253" s="1"/>
  <c r="K82" i="363"/>
  <c r="J82" i="363"/>
  <c r="H21" i="253" s="1"/>
  <c r="I82" i="363"/>
  <c r="H82" i="363"/>
  <c r="G82" i="363"/>
  <c r="E21" i="253" s="1"/>
  <c r="F82" i="363"/>
  <c r="D21" i="253"/>
  <c r="E82" i="363"/>
  <c r="M81" i="363"/>
  <c r="L81" i="363"/>
  <c r="J20" i="253"/>
  <c r="K81" i="363"/>
  <c r="I20" i="253"/>
  <c r="J81" i="363"/>
  <c r="I81" i="363"/>
  <c r="G20" i="253" s="1"/>
  <c r="H81" i="363"/>
  <c r="F20" i="253"/>
  <c r="G81" i="363"/>
  <c r="E20" i="253" s="1"/>
  <c r="F81" i="363"/>
  <c r="E81" i="363"/>
  <c r="M80" i="363"/>
  <c r="K19" i="253" s="1"/>
  <c r="L80" i="363"/>
  <c r="J19" i="253"/>
  <c r="K80" i="363"/>
  <c r="I19" i="253" s="1"/>
  <c r="J80" i="363"/>
  <c r="H19" i="253"/>
  <c r="I80" i="363"/>
  <c r="G19" i="253" s="1"/>
  <c r="G22" i="253" s="1"/>
  <c r="H80" i="363"/>
  <c r="F19" i="253"/>
  <c r="G80" i="363"/>
  <c r="F80" i="363"/>
  <c r="E80" i="363"/>
  <c r="C19" i="253"/>
  <c r="M79" i="363"/>
  <c r="L79" i="363"/>
  <c r="J18" i="253" s="1"/>
  <c r="K79" i="363"/>
  <c r="I18" i="253"/>
  <c r="J79" i="363"/>
  <c r="H18" i="253" s="1"/>
  <c r="I79" i="363"/>
  <c r="I83" i="363"/>
  <c r="H79" i="363"/>
  <c r="G79" i="363"/>
  <c r="F79" i="363"/>
  <c r="D18" i="253"/>
  <c r="E79" i="363"/>
  <c r="C18" i="253" s="1"/>
  <c r="M78" i="363"/>
  <c r="M83" i="363" s="1"/>
  <c r="L78" i="363"/>
  <c r="K78" i="363"/>
  <c r="K83" i="363" s="1"/>
  <c r="K88" i="363" s="1"/>
  <c r="J78" i="363"/>
  <c r="H17" i="253" s="1"/>
  <c r="H22" i="253" s="1"/>
  <c r="I78" i="363"/>
  <c r="H78" i="363"/>
  <c r="F17" i="253" s="1"/>
  <c r="G78" i="363"/>
  <c r="G83" i="363"/>
  <c r="F78" i="363"/>
  <c r="D17" i="253"/>
  <c r="E78" i="363"/>
  <c r="M74" i="363"/>
  <c r="L74" i="363"/>
  <c r="J13" i="253" s="1"/>
  <c r="K74" i="363"/>
  <c r="J74" i="363"/>
  <c r="I74" i="363"/>
  <c r="G13" i="253" s="1"/>
  <c r="H74" i="363"/>
  <c r="F13" i="253" s="1"/>
  <c r="G74" i="363"/>
  <c r="F74" i="363"/>
  <c r="M73" i="363"/>
  <c r="L73" i="363"/>
  <c r="J12" i="253" s="1"/>
  <c r="K73" i="363"/>
  <c r="J73" i="363"/>
  <c r="H12" i="253"/>
  <c r="I73" i="363"/>
  <c r="H73" i="363"/>
  <c r="F12" i="253" s="1"/>
  <c r="G73" i="363"/>
  <c r="E12" i="253" s="1"/>
  <c r="F73" i="363"/>
  <c r="D12" i="253" s="1"/>
  <c r="M72" i="363"/>
  <c r="L72" i="363"/>
  <c r="J11" i="253"/>
  <c r="K72" i="363"/>
  <c r="I11" i="253" s="1"/>
  <c r="J72" i="363"/>
  <c r="H11" i="253"/>
  <c r="H14" i="253" s="1"/>
  <c r="G62" i="86" s="1"/>
  <c r="I72" i="363"/>
  <c r="H72" i="363"/>
  <c r="F11" i="253"/>
  <c r="G72" i="363"/>
  <c r="E11" i="253" s="1"/>
  <c r="E14" i="253" s="1"/>
  <c r="F72" i="363"/>
  <c r="D11" i="253" s="1"/>
  <c r="E74" i="363"/>
  <c r="E73" i="363"/>
  <c r="E72" i="363"/>
  <c r="E75" i="363"/>
  <c r="M70" i="363"/>
  <c r="L70" i="363"/>
  <c r="K70" i="363"/>
  <c r="I9" i="253" s="1"/>
  <c r="J70" i="363"/>
  <c r="H9" i="253"/>
  <c r="I70" i="363"/>
  <c r="H70" i="363"/>
  <c r="G70" i="363"/>
  <c r="F70" i="363"/>
  <c r="D9" i="253" s="1"/>
  <c r="M69" i="363"/>
  <c r="L69" i="363"/>
  <c r="J8" i="253" s="1"/>
  <c r="J10" i="253" s="1"/>
  <c r="K69" i="363"/>
  <c r="I8" i="253"/>
  <c r="J69" i="363"/>
  <c r="H8" i="253"/>
  <c r="I69" i="363"/>
  <c r="H69" i="363"/>
  <c r="F8" i="253"/>
  <c r="G69" i="363"/>
  <c r="F69" i="363"/>
  <c r="D8" i="253"/>
  <c r="M68" i="363"/>
  <c r="K7" i="253" s="1"/>
  <c r="L68" i="363"/>
  <c r="J7" i="253" s="1"/>
  <c r="K68" i="363"/>
  <c r="I7" i="253"/>
  <c r="J68" i="363"/>
  <c r="H7" i="253" s="1"/>
  <c r="I68" i="363"/>
  <c r="H68" i="363"/>
  <c r="F7" i="253"/>
  <c r="G68" i="363"/>
  <c r="F68" i="363"/>
  <c r="D7" i="253" s="1"/>
  <c r="M67" i="363"/>
  <c r="L67" i="363"/>
  <c r="J6" i="253"/>
  <c r="K67" i="363"/>
  <c r="J67" i="363"/>
  <c r="I67" i="363"/>
  <c r="G6" i="253"/>
  <c r="G10" i="253" s="1"/>
  <c r="H67" i="363"/>
  <c r="G67" i="363"/>
  <c r="F67" i="363"/>
  <c r="D6" i="253" s="1"/>
  <c r="E68" i="363"/>
  <c r="E69" i="363"/>
  <c r="C8" i="253"/>
  <c r="E70" i="363"/>
  <c r="C9" i="253" s="1"/>
  <c r="E67" i="363"/>
  <c r="D41" i="253"/>
  <c r="H41" i="253"/>
  <c r="J41" i="253"/>
  <c r="K41" i="253"/>
  <c r="D42" i="253"/>
  <c r="E42" i="253"/>
  <c r="G42" i="253"/>
  <c r="H42" i="253"/>
  <c r="I42" i="253"/>
  <c r="J42" i="253"/>
  <c r="K42" i="253"/>
  <c r="C43" i="253"/>
  <c r="D43" i="253"/>
  <c r="E43" i="253"/>
  <c r="F43" i="253"/>
  <c r="G43" i="253"/>
  <c r="H43" i="253"/>
  <c r="H45" i="253" s="1"/>
  <c r="G65" i="86" s="1"/>
  <c r="I43" i="253"/>
  <c r="J43" i="253"/>
  <c r="D44" i="253"/>
  <c r="E44" i="253"/>
  <c r="G44" i="253"/>
  <c r="I44" i="253"/>
  <c r="K44" i="253"/>
  <c r="J40" i="253"/>
  <c r="J45" i="253" s="1"/>
  <c r="H40" i="253"/>
  <c r="F40" i="253"/>
  <c r="F45" i="253" s="1"/>
  <c r="E40" i="253"/>
  <c r="E45" i="253"/>
  <c r="D40" i="253"/>
  <c r="D45" i="253" s="1"/>
  <c r="C65" i="86" s="1"/>
  <c r="K38" i="253"/>
  <c r="K39" i="253" s="1"/>
  <c r="I38" i="253"/>
  <c r="I39" i="253"/>
  <c r="G38" i="253"/>
  <c r="G39" i="253" s="1"/>
  <c r="F38" i="253"/>
  <c r="F39" i="253" s="1"/>
  <c r="F46" i="253" s="1"/>
  <c r="E38" i="253"/>
  <c r="E39" i="253" s="1"/>
  <c r="D38" i="253"/>
  <c r="D39" i="253" s="1"/>
  <c r="C38" i="253"/>
  <c r="C39" i="253" s="1"/>
  <c r="F33" i="253"/>
  <c r="H33" i="253"/>
  <c r="C34" i="253"/>
  <c r="G34" i="253"/>
  <c r="I34" i="253"/>
  <c r="K34" i="253"/>
  <c r="K35" i="253"/>
  <c r="J32" i="253"/>
  <c r="J35" i="253" s="1"/>
  <c r="J64" i="86" s="1"/>
  <c r="H32" i="253"/>
  <c r="G35" i="253"/>
  <c r="F32" i="253"/>
  <c r="C32" i="253"/>
  <c r="C35" i="253" s="1"/>
  <c r="C30" i="253"/>
  <c r="E30" i="253"/>
  <c r="G30" i="253"/>
  <c r="K29" i="253"/>
  <c r="J29" i="253"/>
  <c r="J31" i="253" s="1"/>
  <c r="I31" i="253"/>
  <c r="H29" i="253"/>
  <c r="H31" i="253" s="1"/>
  <c r="H36" i="253" s="1"/>
  <c r="F29" i="253"/>
  <c r="F31" i="253" s="1"/>
  <c r="E29" i="253"/>
  <c r="E31" i="253"/>
  <c r="D29" i="253"/>
  <c r="C29" i="253"/>
  <c r="G24" i="253"/>
  <c r="I24" i="253"/>
  <c r="K24" i="253"/>
  <c r="D25" i="253"/>
  <c r="E25" i="253"/>
  <c r="F25" i="253"/>
  <c r="H25" i="253"/>
  <c r="K25" i="253"/>
  <c r="K23" i="253"/>
  <c r="K26" i="253" s="1"/>
  <c r="J23" i="253"/>
  <c r="J26" i="253" s="1"/>
  <c r="I23" i="253"/>
  <c r="I26" i="253"/>
  <c r="H23" i="253"/>
  <c r="H26" i="253" s="1"/>
  <c r="G63" i="86" s="1"/>
  <c r="G23" i="253"/>
  <c r="G26" i="253" s="1"/>
  <c r="F23" i="253"/>
  <c r="F26" i="253"/>
  <c r="E63" i="86" s="1"/>
  <c r="D23" i="253"/>
  <c r="D26" i="253" s="1"/>
  <c r="C63" i="86" s="1"/>
  <c r="C23" i="253"/>
  <c r="C26" i="253"/>
  <c r="B63" i="86" s="1"/>
  <c r="E18" i="253"/>
  <c r="F18" i="253"/>
  <c r="G18" i="253"/>
  <c r="K18" i="253"/>
  <c r="D19" i="253"/>
  <c r="E19" i="253"/>
  <c r="C20" i="253"/>
  <c r="D20" i="253"/>
  <c r="D22" i="253"/>
  <c r="D27" i="253" s="1"/>
  <c r="H20" i="253"/>
  <c r="K20" i="253"/>
  <c r="C21" i="253"/>
  <c r="F21" i="253"/>
  <c r="G21" i="253"/>
  <c r="I21" i="253"/>
  <c r="K17" i="253"/>
  <c r="J17" i="253"/>
  <c r="J22" i="253" s="1"/>
  <c r="G17" i="253"/>
  <c r="E17" i="253"/>
  <c r="C17" i="253"/>
  <c r="C22" i="253" s="1"/>
  <c r="C27" i="253" s="1"/>
  <c r="C12" i="253"/>
  <c r="G12" i="253"/>
  <c r="I12" i="253"/>
  <c r="K12" i="253"/>
  <c r="C13" i="253"/>
  <c r="D13" i="253"/>
  <c r="E13" i="253"/>
  <c r="H13" i="253"/>
  <c r="I13" i="253"/>
  <c r="K13" i="253"/>
  <c r="K11" i="253"/>
  <c r="G11" i="253"/>
  <c r="G14" i="253"/>
  <c r="F62" i="86" s="1"/>
  <c r="C7" i="253"/>
  <c r="E7" i="253"/>
  <c r="G7" i="253"/>
  <c r="E8" i="253"/>
  <c r="G8" i="253"/>
  <c r="K8" i="253"/>
  <c r="E9" i="253"/>
  <c r="F9" i="253"/>
  <c r="G9" i="253"/>
  <c r="J9" i="253"/>
  <c r="K9" i="253"/>
  <c r="K6" i="253"/>
  <c r="I6" i="253"/>
  <c r="H6" i="253"/>
  <c r="H10" i="253"/>
  <c r="F6" i="253"/>
  <c r="F10" i="253"/>
  <c r="E6" i="253"/>
  <c r="C6" i="253"/>
  <c r="C10" i="25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K33" i="255"/>
  <c r="J33" i="255"/>
  <c r="I33" i="255"/>
  <c r="I34" i="255"/>
  <c r="I10" i="127" s="1"/>
  <c r="J49" i="123" s="1"/>
  <c r="H33" i="255"/>
  <c r="G33" i="255"/>
  <c r="F33" i="255"/>
  <c r="F58" i="253"/>
  <c r="E33" i="255"/>
  <c r="E34" i="255"/>
  <c r="E10" i="127" s="1"/>
  <c r="F49" i="123" s="1"/>
  <c r="D33" i="255"/>
  <c r="C33" i="255"/>
  <c r="L26" i="255"/>
  <c r="K26" i="255"/>
  <c r="J26" i="255"/>
  <c r="J56" i="253"/>
  <c r="I26" i="255"/>
  <c r="I56" i="253"/>
  <c r="H26" i="255"/>
  <c r="G26" i="255"/>
  <c r="F26" i="255"/>
  <c r="F56" i="253"/>
  <c r="E26" i="255"/>
  <c r="E56" i="253"/>
  <c r="D26" i="255"/>
  <c r="C26" i="255"/>
  <c r="L20" i="255"/>
  <c r="K20" i="255"/>
  <c r="K55" i="253" s="1"/>
  <c r="J20" i="255"/>
  <c r="J55" i="253"/>
  <c r="I20" i="255"/>
  <c r="H20" i="255"/>
  <c r="G20" i="255"/>
  <c r="G55" i="253"/>
  <c r="F20" i="255"/>
  <c r="F55" i="253" s="1"/>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D59" i="253" s="1"/>
  <c r="E272" i="363"/>
  <c r="L14" i="255"/>
  <c r="L15" i="255"/>
  <c r="L7" i="127"/>
  <c r="M46" i="123" s="1"/>
  <c r="K14" i="255"/>
  <c r="K15" i="255" s="1"/>
  <c r="K7" i="127" s="1"/>
  <c r="P7" i="137" s="1"/>
  <c r="K57" i="253"/>
  <c r="J14" i="255"/>
  <c r="J15" i="255" s="1"/>
  <c r="J7" i="127" s="1"/>
  <c r="I14" i="255"/>
  <c r="I15" i="255" s="1"/>
  <c r="I7" i="127"/>
  <c r="I57" i="253"/>
  <c r="H14" i="255"/>
  <c r="H15" i="255" s="1"/>
  <c r="H7" i="127"/>
  <c r="H57" i="253"/>
  <c r="G14" i="255"/>
  <c r="G15" i="255"/>
  <c r="G7" i="127"/>
  <c r="G57" i="253"/>
  <c r="F14" i="255"/>
  <c r="F15" i="255"/>
  <c r="F7" i="127"/>
  <c r="F57" i="253"/>
  <c r="E14" i="255"/>
  <c r="E15" i="255"/>
  <c r="E7" i="127" s="1"/>
  <c r="D14" i="255"/>
  <c r="D15" i="255" s="1"/>
  <c r="D7" i="127" s="1"/>
  <c r="D57" i="253"/>
  <c r="C14" i="255"/>
  <c r="M260" i="363"/>
  <c r="K59" i="253" s="1"/>
  <c r="L260" i="363"/>
  <c r="J59" i="253" s="1"/>
  <c r="K260" i="363"/>
  <c r="I59" i="253" s="1"/>
  <c r="J260" i="363"/>
  <c r="H59" i="253" s="1"/>
  <c r="I260" i="363"/>
  <c r="G59" i="253" s="1"/>
  <c r="H260" i="363"/>
  <c r="F59" i="253"/>
  <c r="G260" i="363"/>
  <c r="E59" i="253" s="1"/>
  <c r="F260" i="363"/>
  <c r="E260" i="363"/>
  <c r="C59" i="25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J117" i="363"/>
  <c r="I117" i="363"/>
  <c r="H117" i="363"/>
  <c r="G117" i="363"/>
  <c r="F117" i="363"/>
  <c r="E117" i="363"/>
  <c r="J110" i="363"/>
  <c r="I110" i="363"/>
  <c r="H110" i="363"/>
  <c r="G110" i="363"/>
  <c r="F110" i="363"/>
  <c r="E110" i="363"/>
  <c r="K106" i="363"/>
  <c r="I106" i="363"/>
  <c r="G106" i="363"/>
  <c r="E106" i="363"/>
  <c r="M100" i="363"/>
  <c r="L100" i="363"/>
  <c r="K100" i="363"/>
  <c r="J100" i="363"/>
  <c r="I100" i="363"/>
  <c r="I107" i="363" s="1"/>
  <c r="G100" i="363"/>
  <c r="G107" i="363" s="1"/>
  <c r="E100" i="363"/>
  <c r="L96" i="363"/>
  <c r="J96" i="363"/>
  <c r="H96" i="363"/>
  <c r="F96" i="363"/>
  <c r="M92" i="363"/>
  <c r="K92" i="363"/>
  <c r="I92" i="363"/>
  <c r="G92" i="363"/>
  <c r="M87" i="363"/>
  <c r="L87" i="363"/>
  <c r="K87" i="363"/>
  <c r="J87" i="363"/>
  <c r="I87" i="363"/>
  <c r="H87" i="363"/>
  <c r="G87" i="363"/>
  <c r="F87" i="363"/>
  <c r="E87" i="363"/>
  <c r="H83" i="363"/>
  <c r="H88" i="363" s="1"/>
  <c r="E83" i="363"/>
  <c r="E88" i="363"/>
  <c r="M75" i="363"/>
  <c r="L75" i="363"/>
  <c r="K75" i="363"/>
  <c r="J75" i="363"/>
  <c r="I75" i="363"/>
  <c r="I76" i="363" s="1"/>
  <c r="H75" i="363"/>
  <c r="G75" i="363"/>
  <c r="F75" i="363"/>
  <c r="M71" i="363"/>
  <c r="L71" i="363"/>
  <c r="L76" i="363" s="1"/>
  <c r="K71" i="363"/>
  <c r="J71" i="363"/>
  <c r="J76" i="363" s="1"/>
  <c r="I71" i="363"/>
  <c r="H71" i="363"/>
  <c r="H76" i="363" s="1"/>
  <c r="G71" i="363"/>
  <c r="F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H79" i="253" s="1"/>
  <c r="G73" i="253"/>
  <c r="F73" i="253"/>
  <c r="E73" i="253"/>
  <c r="E79" i="253" s="1"/>
  <c r="D73" i="253"/>
  <c r="C73" i="253"/>
  <c r="K72" i="253"/>
  <c r="J72" i="253"/>
  <c r="J79" i="253" s="1"/>
  <c r="I72" i="253"/>
  <c r="H72" i="253"/>
  <c r="G72" i="253"/>
  <c r="F72" i="253"/>
  <c r="E72" i="253"/>
  <c r="D72" i="253"/>
  <c r="C72" i="253"/>
  <c r="K71" i="253"/>
  <c r="J71" i="253"/>
  <c r="I71" i="253"/>
  <c r="I79" i="253"/>
  <c r="H71" i="253"/>
  <c r="G71" i="253"/>
  <c r="F71" i="253"/>
  <c r="E71" i="253"/>
  <c r="D71" i="253"/>
  <c r="C71" i="253"/>
  <c r="C79" i="253" s="1"/>
  <c r="A24" i="305"/>
  <c r="K58" i="253"/>
  <c r="J58" i="253"/>
  <c r="I58" i="253"/>
  <c r="H58" i="253"/>
  <c r="G58" i="253"/>
  <c r="D58" i="253"/>
  <c r="C58" i="253"/>
  <c r="K56" i="253"/>
  <c r="H56" i="253"/>
  <c r="G56" i="253"/>
  <c r="D56" i="253"/>
  <c r="C56" i="253"/>
  <c r="I55" i="253"/>
  <c r="H55" i="253"/>
  <c r="H60" i="253" s="1"/>
  <c r="E55" i="253"/>
  <c r="D55" i="253"/>
  <c r="C55" i="253"/>
  <c r="C34" i="255"/>
  <c r="L34" i="255"/>
  <c r="K34" i="255"/>
  <c r="J34" i="255"/>
  <c r="J10" i="127" s="1"/>
  <c r="H34" i="255"/>
  <c r="G34" i="255"/>
  <c r="G10" i="127"/>
  <c r="H49" i="123" s="1"/>
  <c r="F34" i="255"/>
  <c r="F10" i="127" s="1"/>
  <c r="D34" i="255"/>
  <c r="L27" i="255"/>
  <c r="K27" i="255"/>
  <c r="K9" i="127" s="1"/>
  <c r="P9" i="137" s="1"/>
  <c r="J27" i="255"/>
  <c r="J9" i="127"/>
  <c r="K48" i="123" s="1"/>
  <c r="I27" i="255"/>
  <c r="I9" i="127" s="1"/>
  <c r="J48" i="123"/>
  <c r="H27" i="255"/>
  <c r="H9" i="127"/>
  <c r="I48" i="123" s="1"/>
  <c r="G27" i="255"/>
  <c r="G9" i="127" s="1"/>
  <c r="F27" i="255"/>
  <c r="F9" i="127" s="1"/>
  <c r="G48" i="123" s="1"/>
  <c r="E27" i="255"/>
  <c r="E9" i="127"/>
  <c r="F48" i="123" s="1"/>
  <c r="D27" i="255"/>
  <c r="C27" i="255"/>
  <c r="L21" i="255"/>
  <c r="L8" i="127" s="1"/>
  <c r="K21" i="255"/>
  <c r="K8" i="127" s="1"/>
  <c r="P8" i="137" s="1"/>
  <c r="J21" i="255"/>
  <c r="J8" i="127"/>
  <c r="I21" i="255"/>
  <c r="I8" i="127"/>
  <c r="J47" i="123" s="1"/>
  <c r="H21" i="255"/>
  <c r="H8" i="127" s="1"/>
  <c r="G21" i="255"/>
  <c r="G8" i="127" s="1"/>
  <c r="H47" i="123" s="1"/>
  <c r="F21" i="255"/>
  <c r="E21" i="255"/>
  <c r="E8" i="127" s="1"/>
  <c r="F47" i="123" s="1"/>
  <c r="D21" i="255"/>
  <c r="D8" i="127" s="1"/>
  <c r="C21" i="255"/>
  <c r="F8" i="127"/>
  <c r="G47" i="123" s="1"/>
  <c r="L9" i="255"/>
  <c r="K9" i="255"/>
  <c r="K5" i="127" s="1"/>
  <c r="J9" i="255"/>
  <c r="J5" i="127" s="1"/>
  <c r="I5" i="86" s="1"/>
  <c r="I9" i="255"/>
  <c r="I5" i="127" s="1"/>
  <c r="H9" i="255"/>
  <c r="H5" i="127" s="1"/>
  <c r="G9" i="255"/>
  <c r="F9" i="255"/>
  <c r="F5" i="127"/>
  <c r="E5" i="86" s="1"/>
  <c r="E9" i="255"/>
  <c r="E5" i="127"/>
  <c r="F45" i="123" s="1"/>
  <c r="D9" i="255"/>
  <c r="D5" i="127" s="1"/>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F54" i="294" s="1"/>
  <c r="G21" i="294"/>
  <c r="H21" i="294"/>
  <c r="I21" i="294"/>
  <c r="C40" i="294"/>
  <c r="D40" i="294"/>
  <c r="E40" i="294"/>
  <c r="F40" i="294"/>
  <c r="G40" i="294"/>
  <c r="H40" i="294"/>
  <c r="H54" i="294" s="1"/>
  <c r="I40" i="294"/>
  <c r="A43" i="294"/>
  <c r="A44" i="294"/>
  <c r="A45" i="294"/>
  <c r="A46" i="294"/>
  <c r="A47" i="294"/>
  <c r="A48" i="294"/>
  <c r="A49" i="294"/>
  <c r="A50" i="294"/>
  <c r="C53" i="294"/>
  <c r="D53" i="294"/>
  <c r="E53" i="294"/>
  <c r="F53" i="294"/>
  <c r="G53" i="294"/>
  <c r="H53" i="294"/>
  <c r="I53" i="294"/>
  <c r="I54" i="294"/>
  <c r="A55" i="294"/>
  <c r="A2" i="358"/>
  <c r="B2" i="358"/>
  <c r="C3" i="358"/>
  <c r="D3" i="358"/>
  <c r="E3" i="358"/>
  <c r="F3" i="358"/>
  <c r="G3" i="358"/>
  <c r="H3" i="358"/>
  <c r="C7" i="358"/>
  <c r="D7" i="358"/>
  <c r="E7" i="358"/>
  <c r="F7" i="358"/>
  <c r="G7" i="358"/>
  <c r="G6" i="358" s="1"/>
  <c r="H7" i="358"/>
  <c r="I7" i="358"/>
  <c r="J7" i="358"/>
  <c r="J6" i="358" s="1"/>
  <c r="K7" i="358"/>
  <c r="C10" i="358"/>
  <c r="C6" i="358" s="1"/>
  <c r="D10" i="358"/>
  <c r="E10" i="358"/>
  <c r="F10" i="358"/>
  <c r="F6" i="358" s="1"/>
  <c r="G10" i="358"/>
  <c r="H10" i="358"/>
  <c r="I10" i="358"/>
  <c r="I6" i="358"/>
  <c r="J10" i="358"/>
  <c r="K10" i="358"/>
  <c r="C14" i="358"/>
  <c r="D14" i="358"/>
  <c r="E14" i="358"/>
  <c r="F14" i="358"/>
  <c r="G14" i="358"/>
  <c r="H14" i="358"/>
  <c r="I14" i="358"/>
  <c r="J14" i="358"/>
  <c r="K14" i="358"/>
  <c r="C18" i="358"/>
  <c r="D18" i="358"/>
  <c r="E18" i="358"/>
  <c r="F18" i="358"/>
  <c r="G18" i="358"/>
  <c r="H18" i="358"/>
  <c r="I18" i="358"/>
  <c r="J18" i="358"/>
  <c r="K18" i="358"/>
  <c r="K6" i="358" s="1"/>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G77" i="358" s="1"/>
  <c r="H79" i="358"/>
  <c r="H53" i="358" s="1"/>
  <c r="H51" i="358" s="1"/>
  <c r="I79" i="358"/>
  <c r="I53" i="358" s="1"/>
  <c r="I51" i="358" s="1"/>
  <c r="I77" i="358" s="1"/>
  <c r="I97" i="358" s="1"/>
  <c r="J79" i="358"/>
  <c r="J53" i="358" s="1"/>
  <c r="J51" i="358" s="1"/>
  <c r="K79" i="358"/>
  <c r="K53" i="358" s="1"/>
  <c r="K51" i="358" s="1"/>
  <c r="A84" i="358"/>
  <c r="A2" i="349"/>
  <c r="B2" i="349"/>
  <c r="C3" i="349"/>
  <c r="D3" i="349"/>
  <c r="E3" i="349"/>
  <c r="F3" i="349"/>
  <c r="G3" i="349"/>
  <c r="H3" i="349"/>
  <c r="C7" i="349"/>
  <c r="D7" i="349"/>
  <c r="D6" i="349" s="1"/>
  <c r="E7" i="349"/>
  <c r="F7" i="349"/>
  <c r="G7" i="349"/>
  <c r="H7" i="349"/>
  <c r="I7" i="349"/>
  <c r="J7" i="349"/>
  <c r="K7" i="349"/>
  <c r="C10" i="349"/>
  <c r="D10" i="349"/>
  <c r="E10" i="349"/>
  <c r="F10" i="349"/>
  <c r="F71" i="248" s="1"/>
  <c r="F75" i="248" s="1"/>
  <c r="G10" i="349"/>
  <c r="G71" i="248" s="1"/>
  <c r="G75" i="248" s="1"/>
  <c r="H10" i="349"/>
  <c r="H6" i="349"/>
  <c r="I10" i="349"/>
  <c r="I71" i="248" s="1"/>
  <c r="J10" i="349"/>
  <c r="J71" i="248" s="1"/>
  <c r="K10" i="349"/>
  <c r="C14" i="349"/>
  <c r="D14" i="349"/>
  <c r="E14" i="349"/>
  <c r="F14" i="349"/>
  <c r="G14" i="349"/>
  <c r="H14" i="349"/>
  <c r="I14" i="349"/>
  <c r="J14" i="349"/>
  <c r="K14" i="349"/>
  <c r="C18" i="349"/>
  <c r="D18" i="349"/>
  <c r="E18" i="349"/>
  <c r="F18" i="349"/>
  <c r="G18" i="349"/>
  <c r="H18" i="349"/>
  <c r="I18" i="349"/>
  <c r="J18" i="349"/>
  <c r="K18" i="349"/>
  <c r="C21" i="349"/>
  <c r="D21" i="349"/>
  <c r="E21" i="349"/>
  <c r="F21" i="349"/>
  <c r="G21" i="349"/>
  <c r="H21" i="349"/>
  <c r="I21" i="349"/>
  <c r="J21" i="349"/>
  <c r="K21" i="349"/>
  <c r="K74" i="248" s="1"/>
  <c r="C27" i="349"/>
  <c r="D27" i="349"/>
  <c r="E27" i="349"/>
  <c r="F27" i="349"/>
  <c r="G27" i="349"/>
  <c r="H27" i="349"/>
  <c r="I27" i="349"/>
  <c r="J27" i="349"/>
  <c r="J76" i="248" s="1"/>
  <c r="K27" i="349"/>
  <c r="C43" i="349"/>
  <c r="D43" i="349"/>
  <c r="E43" i="349"/>
  <c r="F43" i="349"/>
  <c r="G43" i="349"/>
  <c r="H43" i="349"/>
  <c r="I43" i="349"/>
  <c r="J43" i="349"/>
  <c r="K43" i="349"/>
  <c r="C47" i="349"/>
  <c r="D47" i="349"/>
  <c r="E47" i="349"/>
  <c r="F47" i="349"/>
  <c r="G47" i="349"/>
  <c r="H47" i="349"/>
  <c r="I47" i="349"/>
  <c r="J47" i="349"/>
  <c r="K47" i="349"/>
  <c r="D53" i="349"/>
  <c r="D51" i="349" s="1"/>
  <c r="F51" i="349"/>
  <c r="F79" i="248" s="1"/>
  <c r="H53" i="349"/>
  <c r="H51" i="349" s="1"/>
  <c r="H77" i="349" s="1"/>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E79" i="349"/>
  <c r="E53" i="349" s="1"/>
  <c r="E51" i="349" s="1"/>
  <c r="F79" i="349"/>
  <c r="F53" i="349" s="1"/>
  <c r="G79" i="349"/>
  <c r="G53" i="349" s="1"/>
  <c r="G51" i="349" s="1"/>
  <c r="H79" i="349"/>
  <c r="I79" i="349"/>
  <c r="I53" i="349" s="1"/>
  <c r="I51" i="349" s="1"/>
  <c r="I79" i="248" s="1"/>
  <c r="J79" i="349"/>
  <c r="J53" i="349" s="1"/>
  <c r="J51" i="349" s="1"/>
  <c r="K79" i="349"/>
  <c r="K53" i="349" s="1"/>
  <c r="K51" i="349" s="1"/>
  <c r="K79" i="248" s="1"/>
  <c r="A87" i="349"/>
  <c r="A2" i="350"/>
  <c r="B2" i="350"/>
  <c r="C3" i="350"/>
  <c r="D3" i="350"/>
  <c r="E3" i="350"/>
  <c r="F3" i="350"/>
  <c r="G3" i="350"/>
  <c r="H3" i="350"/>
  <c r="C7" i="350"/>
  <c r="D7" i="350"/>
  <c r="E7" i="350"/>
  <c r="F7" i="350"/>
  <c r="G7" i="350"/>
  <c r="G21" i="248" s="1"/>
  <c r="H7" i="350"/>
  <c r="I7" i="350"/>
  <c r="J7" i="350"/>
  <c r="J6" i="350" s="1"/>
  <c r="K7" i="350"/>
  <c r="K6" i="350" s="1"/>
  <c r="C10" i="350"/>
  <c r="D10" i="350"/>
  <c r="D22" i="248" s="1"/>
  <c r="E10" i="350"/>
  <c r="F10" i="350"/>
  <c r="F6" i="350" s="1"/>
  <c r="G10" i="350"/>
  <c r="H10" i="350"/>
  <c r="I10" i="350"/>
  <c r="J10" i="350"/>
  <c r="K10" i="350"/>
  <c r="C14" i="350"/>
  <c r="D14" i="350"/>
  <c r="E14" i="350"/>
  <c r="F14" i="350"/>
  <c r="G14" i="350"/>
  <c r="H14" i="350"/>
  <c r="I14" i="350"/>
  <c r="J14" i="350"/>
  <c r="K14" i="350"/>
  <c r="C18" i="350"/>
  <c r="D18" i="350"/>
  <c r="E18" i="350"/>
  <c r="F18" i="350"/>
  <c r="G18" i="350"/>
  <c r="H18" i="350"/>
  <c r="I18" i="350"/>
  <c r="J18" i="350"/>
  <c r="K18" i="350"/>
  <c r="C21" i="350"/>
  <c r="D21" i="350"/>
  <c r="E21" i="350"/>
  <c r="F21" i="350"/>
  <c r="G21" i="350"/>
  <c r="H21" i="350"/>
  <c r="I21" i="350"/>
  <c r="J21" i="350"/>
  <c r="K21" i="350"/>
  <c r="C27" i="350"/>
  <c r="D27" i="350"/>
  <c r="E27" i="350"/>
  <c r="F27" i="350"/>
  <c r="F27" i="248" s="1"/>
  <c r="G27" i="350"/>
  <c r="H27" i="350"/>
  <c r="H27" i="248" s="1"/>
  <c r="I27" i="350"/>
  <c r="I27" i="248" s="1"/>
  <c r="J27" i="350"/>
  <c r="J27" i="248" s="1"/>
  <c r="K27" i="350"/>
  <c r="C43" i="350"/>
  <c r="D43" i="350"/>
  <c r="E43" i="350"/>
  <c r="F43" i="350"/>
  <c r="G43" i="350"/>
  <c r="H43" i="350"/>
  <c r="I43" i="350"/>
  <c r="J43" i="350"/>
  <c r="K43" i="350"/>
  <c r="C47" i="350"/>
  <c r="D47" i="350"/>
  <c r="E47" i="350"/>
  <c r="F47" i="350"/>
  <c r="G47" i="350"/>
  <c r="H47" i="350"/>
  <c r="I47" i="350"/>
  <c r="J47" i="350"/>
  <c r="K47" i="350"/>
  <c r="D51"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C51" i="350" s="1"/>
  <c r="D79" i="350"/>
  <c r="D53" i="350" s="1"/>
  <c r="E79" i="350"/>
  <c r="E53" i="350" s="1"/>
  <c r="E51" i="350" s="1"/>
  <c r="F79" i="350"/>
  <c r="F53" i="350" s="1"/>
  <c r="F51" i="350" s="1"/>
  <c r="F30" i="248" s="1"/>
  <c r="G79" i="350"/>
  <c r="G53" i="350" s="1"/>
  <c r="G51" i="350"/>
  <c r="H79" i="350"/>
  <c r="H53" i="350" s="1"/>
  <c r="H51" i="350" s="1"/>
  <c r="H30" i="248" s="1"/>
  <c r="I79" i="350"/>
  <c r="I53" i="350" s="1"/>
  <c r="I51" i="350"/>
  <c r="I30" i="248" s="1"/>
  <c r="J79" i="350"/>
  <c r="J53" i="350" s="1"/>
  <c r="J51" i="350" s="1"/>
  <c r="K79" i="350"/>
  <c r="K53" i="350" s="1"/>
  <c r="K51" i="350" s="1"/>
  <c r="A87" i="350"/>
  <c r="A2" i="134"/>
  <c r="B2" i="134"/>
  <c r="C3" i="134"/>
  <c r="D3" i="134"/>
  <c r="E3" i="134"/>
  <c r="F3" i="134"/>
  <c r="G3" i="134"/>
  <c r="H3" i="134"/>
  <c r="C7" i="134"/>
  <c r="C6" i="248" s="1"/>
  <c r="D7" i="134"/>
  <c r="E7" i="134"/>
  <c r="F7" i="134"/>
  <c r="F6" i="248" s="1"/>
  <c r="G7" i="134"/>
  <c r="H7" i="134"/>
  <c r="I7" i="134"/>
  <c r="I6" i="248" s="1"/>
  <c r="J7" i="134"/>
  <c r="J6" i="248" s="1"/>
  <c r="K7" i="134"/>
  <c r="K6" i="248" s="1"/>
  <c r="C10" i="134"/>
  <c r="D10" i="134"/>
  <c r="E10" i="134"/>
  <c r="F10" i="134"/>
  <c r="G10" i="134"/>
  <c r="H10" i="134"/>
  <c r="I10" i="134"/>
  <c r="I7" i="248" s="1"/>
  <c r="J10" i="134"/>
  <c r="K10" i="134"/>
  <c r="C14" i="134"/>
  <c r="D14" i="134"/>
  <c r="E14" i="134"/>
  <c r="F14" i="134"/>
  <c r="G14" i="134"/>
  <c r="H14" i="134"/>
  <c r="I14" i="134"/>
  <c r="J14" i="134"/>
  <c r="K14" i="134"/>
  <c r="C18" i="134"/>
  <c r="D18" i="134"/>
  <c r="E18" i="134"/>
  <c r="F18" i="134"/>
  <c r="G18" i="134"/>
  <c r="H18" i="134"/>
  <c r="I18" i="134"/>
  <c r="J18" i="134"/>
  <c r="K18" i="134"/>
  <c r="C21" i="134"/>
  <c r="D21" i="134"/>
  <c r="E21" i="134"/>
  <c r="E10" i="248" s="1"/>
  <c r="E40" i="248" s="1"/>
  <c r="F21" i="134"/>
  <c r="G21" i="134"/>
  <c r="H21" i="134"/>
  <c r="I21" i="134"/>
  <c r="I10" i="248" s="1"/>
  <c r="I40" i="248" s="1"/>
  <c r="J21" i="134"/>
  <c r="K21" i="134"/>
  <c r="C27" i="134"/>
  <c r="D27" i="134"/>
  <c r="E27" i="134"/>
  <c r="E12" i="248" s="1"/>
  <c r="E42" i="248" s="1"/>
  <c r="F27" i="134"/>
  <c r="G27" i="134"/>
  <c r="G12" i="248" s="1"/>
  <c r="H27" i="134"/>
  <c r="H12" i="248" s="1"/>
  <c r="I27" i="134"/>
  <c r="I12" i="248" s="1"/>
  <c r="J27" i="134"/>
  <c r="K27" i="134"/>
  <c r="C43" i="134"/>
  <c r="D43" i="134"/>
  <c r="E43" i="134"/>
  <c r="F43" i="134"/>
  <c r="G43" i="134"/>
  <c r="H43" i="134"/>
  <c r="I43" i="134"/>
  <c r="J43" i="134"/>
  <c r="K43" i="134"/>
  <c r="C47" i="134"/>
  <c r="D47" i="134"/>
  <c r="E47" i="134"/>
  <c r="F47" i="134"/>
  <c r="G47" i="134"/>
  <c r="H47" i="134"/>
  <c r="I47" i="134"/>
  <c r="J47" i="134"/>
  <c r="K47" i="134"/>
  <c r="E53" i="134"/>
  <c r="E51" i="134" s="1"/>
  <c r="I53" i="134"/>
  <c r="I51" i="134" s="1"/>
  <c r="I15" i="248" s="1"/>
  <c r="C65" i="134"/>
  <c r="D65" i="134"/>
  <c r="E65" i="134"/>
  <c r="F65" i="134"/>
  <c r="G65" i="134"/>
  <c r="H65" i="134"/>
  <c r="I65" i="134"/>
  <c r="J65" i="134"/>
  <c r="K65" i="134"/>
  <c r="C69" i="134"/>
  <c r="D69" i="134"/>
  <c r="E69" i="134"/>
  <c r="F69" i="134"/>
  <c r="G69" i="134"/>
  <c r="H69" i="134"/>
  <c r="I69" i="134"/>
  <c r="J69" i="134"/>
  <c r="K69" i="134"/>
  <c r="C73" i="134"/>
  <c r="D73" i="134"/>
  <c r="E73" i="134"/>
  <c r="F73" i="134"/>
  <c r="G73" i="134"/>
  <c r="H73" i="134"/>
  <c r="I73" i="134"/>
  <c r="J73" i="134"/>
  <c r="K73" i="134"/>
  <c r="C79" i="134"/>
  <c r="C53" i="134" s="1"/>
  <c r="C51" i="134" s="1"/>
  <c r="D79" i="134"/>
  <c r="D53" i="134" s="1"/>
  <c r="D51" i="134" s="1"/>
  <c r="D15" i="248" s="1"/>
  <c r="D45" i="248" s="1"/>
  <c r="E79" i="134"/>
  <c r="F79" i="134"/>
  <c r="F53" i="134" s="1"/>
  <c r="F51" i="134" s="1"/>
  <c r="G79" i="134"/>
  <c r="G53" i="134" s="1"/>
  <c r="G51" i="134" s="1"/>
  <c r="G15" i="248" s="1"/>
  <c r="H79" i="134"/>
  <c r="H53" i="134" s="1"/>
  <c r="H51" i="134" s="1"/>
  <c r="H15" i="248" s="1"/>
  <c r="I79" i="134"/>
  <c r="J79" i="134"/>
  <c r="J53" i="134" s="1"/>
  <c r="J51" i="134" s="1"/>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D23" i="139" s="1"/>
  <c r="E15" i="139"/>
  <c r="F15" i="139"/>
  <c r="G15" i="139"/>
  <c r="G23" i="139" s="1"/>
  <c r="H15" i="139"/>
  <c r="H23" i="139" s="1"/>
  <c r="I15" i="139"/>
  <c r="J15" i="139"/>
  <c r="K15" i="139"/>
  <c r="L15" i="139"/>
  <c r="L23" i="139" s="1"/>
  <c r="M15" i="139"/>
  <c r="N15" i="139"/>
  <c r="N23" i="139"/>
  <c r="O18" i="139"/>
  <c r="O19" i="139"/>
  <c r="O20" i="139"/>
  <c r="C21" i="139"/>
  <c r="D21" i="139"/>
  <c r="E21" i="139"/>
  <c r="F21" i="139"/>
  <c r="F23" i="139" s="1"/>
  <c r="G21" i="139"/>
  <c r="H21" i="139"/>
  <c r="I21" i="139"/>
  <c r="J21" i="139"/>
  <c r="K21" i="139"/>
  <c r="L21" i="139"/>
  <c r="M21" i="139"/>
  <c r="N21" i="139"/>
  <c r="E23" i="139"/>
  <c r="I23" i="139"/>
  <c r="K23" i="139"/>
  <c r="M23" i="139"/>
  <c r="O27" i="139"/>
  <c r="O28" i="139"/>
  <c r="O29" i="139"/>
  <c r="C30" i="139"/>
  <c r="D30" i="139"/>
  <c r="E30" i="139"/>
  <c r="F30" i="139"/>
  <c r="G30" i="139"/>
  <c r="H30" i="139"/>
  <c r="I30" i="139"/>
  <c r="J30" i="139"/>
  <c r="K30" i="139"/>
  <c r="L30" i="139"/>
  <c r="M30" i="139"/>
  <c r="N30" i="139"/>
  <c r="O33" i="139"/>
  <c r="O34" i="139"/>
  <c r="O35" i="139"/>
  <c r="C36" i="139"/>
  <c r="C44" i="139" s="1"/>
  <c r="D36" i="139"/>
  <c r="D44" i="139" s="1"/>
  <c r="E36" i="139"/>
  <c r="E44" i="139" s="1"/>
  <c r="F36" i="139"/>
  <c r="G36" i="139"/>
  <c r="G44" i="139" s="1"/>
  <c r="H36" i="139"/>
  <c r="I36" i="139"/>
  <c r="I44" i="139"/>
  <c r="J36" i="139"/>
  <c r="K36" i="139"/>
  <c r="K44" i="139" s="1"/>
  <c r="L36" i="139"/>
  <c r="L44" i="139" s="1"/>
  <c r="M36" i="139"/>
  <c r="M44" i="139" s="1"/>
  <c r="N36" i="139"/>
  <c r="O39" i="139"/>
  <c r="O40" i="139"/>
  <c r="O41" i="139"/>
  <c r="C42" i="139"/>
  <c r="D42" i="139"/>
  <c r="E42" i="139"/>
  <c r="F42" i="139"/>
  <c r="G42" i="139"/>
  <c r="H42" i="139"/>
  <c r="I42" i="139"/>
  <c r="J42" i="139"/>
  <c r="J44" i="139" s="1"/>
  <c r="K42" i="139"/>
  <c r="L42" i="139"/>
  <c r="M42" i="139"/>
  <c r="N42" i="139"/>
  <c r="N44" i="139" s="1"/>
  <c r="H44" i="139"/>
  <c r="A45" i="139"/>
  <c r="A25" i="250"/>
  <c r="A2" i="301"/>
  <c r="B2" i="301"/>
  <c r="C3" i="301"/>
  <c r="D3" i="301"/>
  <c r="E3" i="301"/>
  <c r="F3" i="301"/>
  <c r="G3" i="301"/>
  <c r="H3" i="301"/>
  <c r="A5" i="301"/>
  <c r="A6" i="301"/>
  <c r="A7" i="301"/>
  <c r="A8" i="301"/>
  <c r="A24" i="301" s="1"/>
  <c r="A9" i="301"/>
  <c r="A10" i="301"/>
  <c r="A11" i="301"/>
  <c r="C11" i="301"/>
  <c r="D11" i="301"/>
  <c r="D20" i="301" s="1"/>
  <c r="E11" i="301"/>
  <c r="E20" i="301" s="1"/>
  <c r="F11" i="301"/>
  <c r="G11" i="301"/>
  <c r="G20" i="301"/>
  <c r="H11" i="301"/>
  <c r="H20" i="301" s="1"/>
  <c r="I11" i="301"/>
  <c r="J11" i="301"/>
  <c r="K11" i="301"/>
  <c r="K20" i="301" s="1"/>
  <c r="A12" i="301"/>
  <c r="A14" i="301"/>
  <c r="A15" i="301"/>
  <c r="A16" i="301"/>
  <c r="A17" i="301"/>
  <c r="A18" i="301"/>
  <c r="A19" i="301"/>
  <c r="C19" i="301"/>
  <c r="C20" i="301" s="1"/>
  <c r="D19" i="301"/>
  <c r="E19" i="301"/>
  <c r="F19" i="301"/>
  <c r="F20" i="301" s="1"/>
  <c r="G19" i="301"/>
  <c r="H19" i="301"/>
  <c r="I19" i="301"/>
  <c r="J19" i="301"/>
  <c r="J20" i="301" s="1"/>
  <c r="K19" i="301"/>
  <c r="A20" i="301"/>
  <c r="I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F21" i="95"/>
  <c r="F33" i="95" s="1"/>
  <c r="G21" i="95"/>
  <c r="G33" i="95" s="1"/>
  <c r="H21" i="95"/>
  <c r="H33" i="95" s="1"/>
  <c r="I21" i="95"/>
  <c r="I33" i="95" s="1"/>
  <c r="J21" i="95"/>
  <c r="J33" i="95" s="1"/>
  <c r="K21" i="95"/>
  <c r="K33" i="95" s="1"/>
  <c r="L21" i="95"/>
  <c r="L33" i="95" s="1"/>
  <c r="N21" i="95"/>
  <c r="N33" i="95" s="1"/>
  <c r="O21" i="95"/>
  <c r="O33" i="95" s="1"/>
  <c r="P21" i="95"/>
  <c r="M24" i="95"/>
  <c r="A25" i="95"/>
  <c r="M25" i="95"/>
  <c r="A26" i="95"/>
  <c r="M26" i="95"/>
  <c r="A27" i="95"/>
  <c r="M27" i="95"/>
  <c r="A28" i="95"/>
  <c r="M28" i="95"/>
  <c r="A29" i="95"/>
  <c r="M29" i="95"/>
  <c r="A30" i="95"/>
  <c r="M30" i="95"/>
  <c r="A31" i="95"/>
  <c r="M31" i="95"/>
  <c r="A32" i="95"/>
  <c r="M32" i="95"/>
  <c r="E33" i="95"/>
  <c r="P33" i="95"/>
  <c r="M36" i="95"/>
  <c r="M37" i="95"/>
  <c r="M38" i="95"/>
  <c r="M39" i="95"/>
  <c r="M40" i="95"/>
  <c r="M41" i="95"/>
  <c r="M42" i="95"/>
  <c r="M43" i="95"/>
  <c r="M44" i="95"/>
  <c r="M45" i="95"/>
  <c r="B46" i="95"/>
  <c r="B52" i="95" s="1"/>
  <c r="C46" i="95"/>
  <c r="C52" i="95" s="1"/>
  <c r="D46" i="95"/>
  <c r="D52" i="95" s="1"/>
  <c r="E46" i="95"/>
  <c r="E52" i="95" s="1"/>
  <c r="F46" i="95"/>
  <c r="F52" i="95" s="1"/>
  <c r="G46" i="95"/>
  <c r="G63" i="95" s="1"/>
  <c r="H46" i="95"/>
  <c r="H52" i="95" s="1"/>
  <c r="I46" i="95"/>
  <c r="I63" i="95" s="1"/>
  <c r="J46" i="95"/>
  <c r="J63" i="95" s="1"/>
  <c r="K46" i="95"/>
  <c r="K63" i="95" s="1"/>
  <c r="L46" i="95"/>
  <c r="L63" i="95" s="1"/>
  <c r="N46" i="95"/>
  <c r="N63" i="95" s="1"/>
  <c r="O46" i="95"/>
  <c r="O52" i="95" s="1"/>
  <c r="O54" i="95" s="1"/>
  <c r="O64" i="95" s="1"/>
  <c r="P46" i="95"/>
  <c r="P63" i="95" s="1"/>
  <c r="A49" i="95"/>
  <c r="M49" i="95"/>
  <c r="A50" i="95"/>
  <c r="M50" i="95"/>
  <c r="A51" i="95"/>
  <c r="M51" i="95"/>
  <c r="J52" i="95"/>
  <c r="N55" i="95"/>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c r="P22" i="300"/>
  <c r="Q22" i="300"/>
  <c r="A23" i="300"/>
  <c r="O23" i="300"/>
  <c r="N23" i="300" s="1"/>
  <c r="P23" i="300"/>
  <c r="Q23" i="300"/>
  <c r="A24" i="300"/>
  <c r="O24" i="300"/>
  <c r="N24" i="300" s="1"/>
  <c r="P24" i="300"/>
  <c r="Q24" i="300"/>
  <c r="A25" i="300"/>
  <c r="O28" i="300"/>
  <c r="P28" i="300"/>
  <c r="Q28" i="300"/>
  <c r="Q32" i="300" s="1"/>
  <c r="N29" i="300"/>
  <c r="O29" i="300"/>
  <c r="P29" i="300"/>
  <c r="Q29" i="300"/>
  <c r="O30" i="300"/>
  <c r="N30" i="300" s="1"/>
  <c r="P30" i="300"/>
  <c r="P32" i="300" s="1"/>
  <c r="Q30" i="300"/>
  <c r="N31" i="300"/>
  <c r="O31" i="300"/>
  <c r="P31" i="300"/>
  <c r="Q31" i="300"/>
  <c r="C32" i="300"/>
  <c r="C36" i="300" s="1"/>
  <c r="D32" i="300"/>
  <c r="E32" i="300"/>
  <c r="F32" i="300"/>
  <c r="F36" i="300" s="1"/>
  <c r="G32" i="300"/>
  <c r="G36" i="300"/>
  <c r="H32" i="300"/>
  <c r="H36" i="300" s="1"/>
  <c r="I32" i="300"/>
  <c r="J32" i="300"/>
  <c r="K32" i="300"/>
  <c r="K36" i="300" s="1"/>
  <c r="L32" i="300"/>
  <c r="M32" i="300"/>
  <c r="M36" i="300" s="1"/>
  <c r="N33" i="300"/>
  <c r="O33" i="300"/>
  <c r="P33" i="300"/>
  <c r="Q33" i="300"/>
  <c r="N34" i="300"/>
  <c r="O34" i="300"/>
  <c r="P34" i="300"/>
  <c r="Q34" i="300"/>
  <c r="O35" i="300"/>
  <c r="N35" i="300" s="1"/>
  <c r="P35" i="300"/>
  <c r="Q35" i="300"/>
  <c r="D36" i="300"/>
  <c r="E36" i="300"/>
  <c r="I36" i="300"/>
  <c r="J36" i="300"/>
  <c r="L36" i="300"/>
  <c r="A37" i="300"/>
  <c r="A39" i="300"/>
  <c r="A2" i="140"/>
  <c r="B2" i="140"/>
  <c r="C20" i="140"/>
  <c r="D20" i="140"/>
  <c r="E20" i="140"/>
  <c r="E39" i="140" s="1"/>
  <c r="F20" i="140"/>
  <c r="G20" i="140"/>
  <c r="H20" i="140"/>
  <c r="I20" i="140"/>
  <c r="J20" i="140"/>
  <c r="K20" i="140"/>
  <c r="L20" i="140"/>
  <c r="M20" i="140"/>
  <c r="C38" i="140"/>
  <c r="D38" i="140"/>
  <c r="E38" i="140"/>
  <c r="F38" i="140"/>
  <c r="G38" i="140"/>
  <c r="H38" i="140"/>
  <c r="I38" i="140"/>
  <c r="I39" i="140" s="1"/>
  <c r="J38" i="140"/>
  <c r="K38" i="140"/>
  <c r="L38" i="140"/>
  <c r="M38" i="140"/>
  <c r="G39"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F25" i="298" s="1"/>
  <c r="G19" i="298"/>
  <c r="H19" i="298"/>
  <c r="I19" i="298"/>
  <c r="J19" i="298"/>
  <c r="J25" i="298" s="1"/>
  <c r="J26" i="298" s="1"/>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J48" i="298" s="1"/>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D40" i="299" s="1"/>
  <c r="D45" i="299" s="1"/>
  <c r="E38" i="299"/>
  <c r="E40" i="299" s="1"/>
  <c r="E45" i="299" s="1"/>
  <c r="F38" i="299"/>
  <c r="G38" i="299"/>
  <c r="H38" i="299"/>
  <c r="I38" i="299"/>
  <c r="J38" i="299"/>
  <c r="K38" i="299"/>
  <c r="L38" i="299"/>
  <c r="M38" i="299"/>
  <c r="A40" i="299"/>
  <c r="A44" i="299"/>
  <c r="O44" i="299"/>
  <c r="N44" i="299"/>
  <c r="P44" i="299"/>
  <c r="Q44" i="299"/>
  <c r="A45" i="299"/>
  <c r="A46" i="299"/>
  <c r="A2" i="137"/>
  <c r="B2" i="137"/>
  <c r="A4" i="137"/>
  <c r="A5" i="137"/>
  <c r="A6" i="137"/>
  <c r="N6" i="137"/>
  <c r="O6" i="137"/>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c r="P16" i="137"/>
  <c r="Q16" i="137"/>
  <c r="A17" i="137"/>
  <c r="O17" i="137"/>
  <c r="N17" i="137" s="1"/>
  <c r="P17" i="137"/>
  <c r="Q17" i="137"/>
  <c r="A18" i="137"/>
  <c r="O18" i="137"/>
  <c r="N18" i="137" s="1"/>
  <c r="P18" i="137"/>
  <c r="Q18" i="137"/>
  <c r="A19" i="137"/>
  <c r="O19" i="137"/>
  <c r="N19" i="137" s="1"/>
  <c r="P19" i="137"/>
  <c r="Q19" i="137"/>
  <c r="A20" i="137"/>
  <c r="A21" i="137"/>
  <c r="O21" i="137"/>
  <c r="N21" i="137"/>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M38" i="137" s="1"/>
  <c r="M42" i="137" s="1"/>
  <c r="M46" i="137" s="1"/>
  <c r="A38" i="137"/>
  <c r="A39" i="137"/>
  <c r="O39" i="137"/>
  <c r="N39" i="137" s="1"/>
  <c r="P39" i="137"/>
  <c r="Q39" i="137"/>
  <c r="A40" i="137"/>
  <c r="A41" i="137"/>
  <c r="O41" i="137"/>
  <c r="N41" i="137" s="1"/>
  <c r="P41" i="137"/>
  <c r="Q41" i="137"/>
  <c r="A42" i="137"/>
  <c r="A43" i="137"/>
  <c r="A42" i="299" s="1"/>
  <c r="N43" i="137"/>
  <c r="O43" i="137"/>
  <c r="O42" i="299"/>
  <c r="N42" i="299" s="1"/>
  <c r="P43" i="137"/>
  <c r="P42" i="299" s="1"/>
  <c r="Q43" i="137"/>
  <c r="Q42" i="299" s="1"/>
  <c r="A44" i="137"/>
  <c r="A43" i="299" s="1"/>
  <c r="N44" i="137"/>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99" i="123" s="1"/>
  <c r="G36" i="148"/>
  <c r="H36" i="148"/>
  <c r="I36" i="148"/>
  <c r="J36" i="148"/>
  <c r="K36" i="148"/>
  <c r="K37" i="148" s="1"/>
  <c r="A43" i="148"/>
  <c r="B2" i="145"/>
  <c r="I5" i="145"/>
  <c r="I6" i="145"/>
  <c r="I7" i="145"/>
  <c r="I8" i="145"/>
  <c r="I9" i="145"/>
  <c r="I10" i="145"/>
  <c r="A11" i="145"/>
  <c r="C11" i="145"/>
  <c r="C57" i="145" s="1"/>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55" i="145" s="1"/>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C48" i="146" s="1"/>
  <c r="D13" i="146"/>
  <c r="E13" i="146"/>
  <c r="F13" i="146"/>
  <c r="G13" i="146"/>
  <c r="H13" i="146"/>
  <c r="I13" i="146"/>
  <c r="I14" i="146" s="1"/>
  <c r="J13" i="146"/>
  <c r="K13" i="146"/>
  <c r="C29" i="146"/>
  <c r="D29" i="146"/>
  <c r="D30" i="146" s="1"/>
  <c r="E29" i="146"/>
  <c r="F29" i="146"/>
  <c r="G29" i="146"/>
  <c r="H29" i="146"/>
  <c r="I29" i="146"/>
  <c r="J29" i="146"/>
  <c r="J30" i="146" s="1"/>
  <c r="K29" i="146"/>
  <c r="A30" i="146"/>
  <c r="B30" i="146"/>
  <c r="C45" i="146"/>
  <c r="D45" i="146"/>
  <c r="E45" i="146"/>
  <c r="F45" i="146"/>
  <c r="G45" i="146"/>
  <c r="H45" i="146"/>
  <c r="I45" i="146"/>
  <c r="J45" i="146"/>
  <c r="K45" i="146"/>
  <c r="A46" i="146"/>
  <c r="B46" i="146"/>
  <c r="C65" i="146"/>
  <c r="D65" i="146"/>
  <c r="E65" i="146"/>
  <c r="E66" i="146"/>
  <c r="F65" i="146"/>
  <c r="F100" i="146" s="1"/>
  <c r="G65" i="146"/>
  <c r="G100" i="146"/>
  <c r="H65" i="146"/>
  <c r="H66" i="146" s="1"/>
  <c r="I65" i="146"/>
  <c r="I66" i="146" s="1"/>
  <c r="J65" i="146"/>
  <c r="K65" i="146"/>
  <c r="A66" i="146"/>
  <c r="B66" i="146"/>
  <c r="C81" i="146"/>
  <c r="D82" i="146"/>
  <c r="D81" i="146"/>
  <c r="E81" i="146"/>
  <c r="F81" i="146"/>
  <c r="F82" i="146"/>
  <c r="G81" i="146"/>
  <c r="G82" i="146" s="1"/>
  <c r="H81" i="146"/>
  <c r="I81" i="146"/>
  <c r="J81" i="146"/>
  <c r="J82" i="146" s="1"/>
  <c r="K81" i="146"/>
  <c r="K82" i="146"/>
  <c r="A82" i="146"/>
  <c r="B82" i="146"/>
  <c r="E82" i="146"/>
  <c r="I82" i="146"/>
  <c r="C97" i="146"/>
  <c r="D97" i="146"/>
  <c r="D98" i="146"/>
  <c r="E97" i="146"/>
  <c r="F97" i="146"/>
  <c r="G97" i="146"/>
  <c r="G98" i="146"/>
  <c r="H97" i="146"/>
  <c r="H98" i="146" s="1"/>
  <c r="I97" i="146"/>
  <c r="J97" i="146"/>
  <c r="J98" i="146" s="1"/>
  <c r="K97" i="146"/>
  <c r="A98" i="146"/>
  <c r="B98" i="146"/>
  <c r="I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I32" i="305" s="1"/>
  <c r="J31" i="305"/>
  <c r="K31" i="305"/>
  <c r="L31" i="305"/>
  <c r="C38" i="305"/>
  <c r="D38" i="305"/>
  <c r="D63" i="305" s="1"/>
  <c r="D92" i="255" s="1"/>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c r="C8" i="316"/>
  <c r="D8" i="316"/>
  <c r="E8" i="316"/>
  <c r="F8" i="316"/>
  <c r="F25" i="316" s="1"/>
  <c r="G8" i="316"/>
  <c r="G25" i="316" s="1"/>
  <c r="G59" i="316" s="1"/>
  <c r="H8" i="316"/>
  <c r="I8" i="316"/>
  <c r="J8" i="316"/>
  <c r="J25" i="316" s="1"/>
  <c r="J59" i="316" s="1"/>
  <c r="K8" i="316"/>
  <c r="A12" i="316"/>
  <c r="A17" i="316"/>
  <c r="A13" i="316"/>
  <c r="C13" i="316"/>
  <c r="D13" i="316"/>
  <c r="E13" i="316"/>
  <c r="F13" i="316"/>
  <c r="G13" i="316"/>
  <c r="H13" i="316"/>
  <c r="I13" i="316"/>
  <c r="J13" i="316"/>
  <c r="K13" i="316"/>
  <c r="A14" i="316"/>
  <c r="A16" i="316"/>
  <c r="A18" i="316"/>
  <c r="C18" i="316"/>
  <c r="D18" i="316"/>
  <c r="E18" i="316"/>
  <c r="F18" i="316"/>
  <c r="G18" i="316"/>
  <c r="H18" i="316"/>
  <c r="I18" i="316"/>
  <c r="J18" i="316"/>
  <c r="K18" i="316"/>
  <c r="A21" i="316"/>
  <c r="A22" i="316"/>
  <c r="A23" i="316"/>
  <c r="C23" i="316"/>
  <c r="D23" i="316"/>
  <c r="E23" i="316"/>
  <c r="F23" i="316"/>
  <c r="G23" i="316"/>
  <c r="H23" i="316"/>
  <c r="H25" i="316" s="1"/>
  <c r="I23" i="316"/>
  <c r="J23" i="316"/>
  <c r="K23" i="316"/>
  <c r="D25" i="316"/>
  <c r="D59" i="316" s="1"/>
  <c r="C26" i="316"/>
  <c r="C53" i="316" s="1"/>
  <c r="D26" i="316"/>
  <c r="E26" i="316"/>
  <c r="F26" i="316"/>
  <c r="G26" i="316"/>
  <c r="H26" i="316"/>
  <c r="H53" i="316" s="1"/>
  <c r="I26" i="316"/>
  <c r="J26" i="316"/>
  <c r="K26" i="316"/>
  <c r="K53" i="316" s="1"/>
  <c r="C32" i="316"/>
  <c r="C49" i="316" s="1"/>
  <c r="D32" i="316"/>
  <c r="D49" i="316" s="1"/>
  <c r="D52" i="316" s="1"/>
  <c r="E32" i="316"/>
  <c r="E49" i="316" s="1"/>
  <c r="F32" i="316"/>
  <c r="G32" i="316"/>
  <c r="G49" i="316" s="1"/>
  <c r="H32" i="316"/>
  <c r="H49" i="316" s="1"/>
  <c r="I32" i="316"/>
  <c r="I49" i="316" s="1"/>
  <c r="J32" i="316"/>
  <c r="J49" i="316" s="1"/>
  <c r="K32" i="316"/>
  <c r="A36" i="316"/>
  <c r="A46" i="316" s="1"/>
  <c r="A37" i="316"/>
  <c r="C37" i="316"/>
  <c r="D37" i="316"/>
  <c r="E37" i="316"/>
  <c r="F37" i="316"/>
  <c r="F49" i="316" s="1"/>
  <c r="G37" i="316"/>
  <c r="H37" i="316"/>
  <c r="I37" i="316"/>
  <c r="J37" i="316"/>
  <c r="K37" i="316"/>
  <c r="A38" i="316"/>
  <c r="A48" i="316" s="1"/>
  <c r="A40" i="316"/>
  <c r="A41" i="316"/>
  <c r="C42" i="316"/>
  <c r="D42" i="316"/>
  <c r="E42" i="316"/>
  <c r="F42" i="316"/>
  <c r="G42" i="316"/>
  <c r="H42" i="316"/>
  <c r="I42" i="316"/>
  <c r="J42" i="316"/>
  <c r="K42" i="316"/>
  <c r="A43" i="316"/>
  <c r="A45" i="316"/>
  <c r="C47" i="316"/>
  <c r="D47" i="316"/>
  <c r="E47" i="316"/>
  <c r="F47" i="316"/>
  <c r="G47" i="316"/>
  <c r="H47" i="316"/>
  <c r="I47" i="316"/>
  <c r="J47" i="316"/>
  <c r="K47" i="316"/>
  <c r="C50" i="316"/>
  <c r="D50" i="316"/>
  <c r="D53" i="316" s="1"/>
  <c r="E50" i="316"/>
  <c r="F50" i="316"/>
  <c r="F53" i="316" s="1"/>
  <c r="G50" i="316"/>
  <c r="H50" i="316"/>
  <c r="I50" i="316"/>
  <c r="I53" i="316" s="1"/>
  <c r="J50" i="316"/>
  <c r="K50" i="316"/>
  <c r="G53" i="316"/>
  <c r="J53" i="316"/>
  <c r="A54" i="316"/>
  <c r="A2" i="249"/>
  <c r="B2" i="249"/>
  <c r="C3" i="249"/>
  <c r="D3" i="249"/>
  <c r="E3" i="249"/>
  <c r="F3" i="249"/>
  <c r="G3" i="249"/>
  <c r="H3" i="249"/>
  <c r="A7" i="249"/>
  <c r="C7" i="249"/>
  <c r="D7" i="249"/>
  <c r="E7" i="249"/>
  <c r="E27" i="249" s="1"/>
  <c r="F7" i="249"/>
  <c r="F27" i="249" s="1"/>
  <c r="G7" i="249"/>
  <c r="H7" i="249"/>
  <c r="I7" i="249"/>
  <c r="I27" i="249"/>
  <c r="J7" i="249"/>
  <c r="K7" i="249"/>
  <c r="K27" i="249" s="1"/>
  <c r="A8" i="249"/>
  <c r="A9" i="249"/>
  <c r="A10" i="249"/>
  <c r="A11" i="249"/>
  <c r="A12" i="249"/>
  <c r="A13" i="249"/>
  <c r="A14" i="249"/>
  <c r="A15" i="249"/>
  <c r="C15" i="249"/>
  <c r="D15" i="249"/>
  <c r="E15" i="249"/>
  <c r="F15" i="249"/>
  <c r="G15" i="249"/>
  <c r="H15" i="249"/>
  <c r="I15" i="249"/>
  <c r="J15" i="249"/>
  <c r="J27" i="249" s="1"/>
  <c r="K15" i="249"/>
  <c r="A16" i="249"/>
  <c r="A17" i="249"/>
  <c r="A18" i="249"/>
  <c r="A19" i="249"/>
  <c r="A21" i="249"/>
  <c r="C21" i="249"/>
  <c r="C27" i="249" s="1"/>
  <c r="D21" i="249"/>
  <c r="E21" i="249"/>
  <c r="F21" i="249"/>
  <c r="G21" i="249"/>
  <c r="G27" i="249" s="1"/>
  <c r="H21" i="249"/>
  <c r="I21" i="249"/>
  <c r="J21" i="249"/>
  <c r="K21" i="249"/>
  <c r="A22" i="249"/>
  <c r="A24" i="249"/>
  <c r="C24" i="249"/>
  <c r="D24" i="249"/>
  <c r="E24" i="249"/>
  <c r="F24" i="249"/>
  <c r="G24" i="249"/>
  <c r="H24" i="249"/>
  <c r="I24" i="249"/>
  <c r="J24" i="249"/>
  <c r="K24" i="249"/>
  <c r="A25" i="249"/>
  <c r="A30" i="249"/>
  <c r="C30" i="249"/>
  <c r="D30" i="249"/>
  <c r="E30" i="249"/>
  <c r="E45" i="249" s="1"/>
  <c r="F30" i="249"/>
  <c r="G30" i="249"/>
  <c r="G45" i="249" s="1"/>
  <c r="H30" i="249"/>
  <c r="I30" i="249"/>
  <c r="I45" i="249" s="1"/>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H45" i="249" s="1"/>
  <c r="I39" i="249"/>
  <c r="J39" i="249"/>
  <c r="K39" i="249"/>
  <c r="K45" i="249"/>
  <c r="C42" i="249"/>
  <c r="D42" i="249"/>
  <c r="E42" i="249"/>
  <c r="F42" i="249"/>
  <c r="G42" i="249"/>
  <c r="H42" i="249"/>
  <c r="I42" i="249"/>
  <c r="J42" i="249"/>
  <c r="K42" i="249"/>
  <c r="D45" i="249"/>
  <c r="A48" i="249"/>
  <c r="A2" i="136"/>
  <c r="B2" i="136"/>
  <c r="C3" i="136"/>
  <c r="D3" i="136"/>
  <c r="E3" i="136"/>
  <c r="F3" i="136"/>
  <c r="G3" i="136"/>
  <c r="H3" i="136"/>
  <c r="C7" i="136"/>
  <c r="C27" i="136" s="1"/>
  <c r="D7" i="136"/>
  <c r="E7" i="136"/>
  <c r="E27" i="136"/>
  <c r="F7" i="136"/>
  <c r="F27" i="136" s="1"/>
  <c r="G7" i="136"/>
  <c r="G27" i="136"/>
  <c r="H7" i="136"/>
  <c r="I7" i="136"/>
  <c r="J7" i="136"/>
  <c r="K7" i="136"/>
  <c r="K27" i="136" s="1"/>
  <c r="B8" i="136"/>
  <c r="B9" i="136"/>
  <c r="B10" i="136"/>
  <c r="B11" i="136"/>
  <c r="B12" i="136"/>
  <c r="B13" i="136"/>
  <c r="C15" i="136"/>
  <c r="D15" i="136"/>
  <c r="E15" i="136"/>
  <c r="F15" i="136"/>
  <c r="G15" i="136"/>
  <c r="H15" i="136"/>
  <c r="I15" i="136"/>
  <c r="J15" i="136"/>
  <c r="J27" i="136" s="1"/>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I27" i="136"/>
  <c r="A30" i="136"/>
  <c r="C30" i="136"/>
  <c r="C45" i="136" s="1"/>
  <c r="C46" i="136" s="1"/>
  <c r="D30" i="136"/>
  <c r="D45" i="136" s="1"/>
  <c r="E30" i="136"/>
  <c r="F30" i="136"/>
  <c r="G30" i="136"/>
  <c r="H30" i="136"/>
  <c r="I30" i="136"/>
  <c r="J30" i="136"/>
  <c r="K30" i="136"/>
  <c r="K45" i="136" s="1"/>
  <c r="A37" i="136"/>
  <c r="A37" i="249" s="1"/>
  <c r="C37" i="136"/>
  <c r="D37" i="136"/>
  <c r="E37" i="136"/>
  <c r="F37" i="136"/>
  <c r="G37" i="136"/>
  <c r="G45" i="136" s="1"/>
  <c r="H37" i="136"/>
  <c r="I37" i="136"/>
  <c r="J37" i="136"/>
  <c r="K37" i="136"/>
  <c r="A39" i="136"/>
  <c r="A39" i="249" s="1"/>
  <c r="C39" i="136"/>
  <c r="D39" i="136"/>
  <c r="E39" i="136"/>
  <c r="F39" i="136"/>
  <c r="F45" i="136" s="1"/>
  <c r="G39" i="136"/>
  <c r="H39" i="136"/>
  <c r="I39" i="136"/>
  <c r="J39" i="136"/>
  <c r="K39" i="136"/>
  <c r="A40" i="136"/>
  <c r="A40" i="249"/>
  <c r="A42" i="136"/>
  <c r="A42" i="249" s="1"/>
  <c r="C42" i="136"/>
  <c r="D42" i="136"/>
  <c r="E42" i="136"/>
  <c r="F42" i="136"/>
  <c r="G42" i="136"/>
  <c r="H42" i="136"/>
  <c r="I42" i="136"/>
  <c r="J42" i="136"/>
  <c r="K42" i="136"/>
  <c r="A43" i="136"/>
  <c r="A43" i="249"/>
  <c r="J45" i="136"/>
  <c r="A47" i="136"/>
  <c r="B2" i="144"/>
  <c r="C3" i="144"/>
  <c r="D3" i="144"/>
  <c r="E3" i="144"/>
  <c r="F3" i="144"/>
  <c r="G3" i="144"/>
  <c r="H3" i="144"/>
  <c r="C17" i="144"/>
  <c r="D17" i="144"/>
  <c r="D34" i="144"/>
  <c r="D71" i="144" s="1"/>
  <c r="E17" i="144"/>
  <c r="F17" i="144"/>
  <c r="F34" i="144" s="1"/>
  <c r="F71" i="144" s="1"/>
  <c r="G17" i="144"/>
  <c r="H17" i="144"/>
  <c r="H34" i="144" s="1"/>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E34" i="144"/>
  <c r="I34" i="144"/>
  <c r="I71" i="144" s="1"/>
  <c r="C50" i="144"/>
  <c r="D50" i="144"/>
  <c r="D67" i="144" s="1"/>
  <c r="E50" i="144"/>
  <c r="F50" i="144"/>
  <c r="G50" i="144"/>
  <c r="G67" i="144" s="1"/>
  <c r="H50" i="144"/>
  <c r="I50" i="144"/>
  <c r="I67" i="144"/>
  <c r="J50" i="144"/>
  <c r="J67" i="144" s="1"/>
  <c r="K50" i="144"/>
  <c r="K67" i="144" s="1"/>
  <c r="A53" i="144"/>
  <c r="A54" i="144"/>
  <c r="A55" i="144"/>
  <c r="A56" i="144"/>
  <c r="A57" i="144"/>
  <c r="A58" i="144"/>
  <c r="A59" i="144"/>
  <c r="A60" i="144"/>
  <c r="A61" i="144"/>
  <c r="A62" i="144"/>
  <c r="A63" i="144"/>
  <c r="A64" i="144"/>
  <c r="C65" i="144"/>
  <c r="C67" i="144"/>
  <c r="D65" i="144"/>
  <c r="E65" i="144"/>
  <c r="F65" i="144"/>
  <c r="G65" i="144"/>
  <c r="H65" i="144"/>
  <c r="I65" i="144"/>
  <c r="J65" i="144"/>
  <c r="K65" i="144"/>
  <c r="F67" i="144"/>
  <c r="A69" i="144"/>
  <c r="B2" i="143"/>
  <c r="O5" i="143"/>
  <c r="O6" i="143"/>
  <c r="O7" i="143"/>
  <c r="O8" i="143"/>
  <c r="O9" i="143"/>
  <c r="O10" i="143"/>
  <c r="O11" i="143"/>
  <c r="K12" i="143"/>
  <c r="K24" i="143" s="1"/>
  <c r="M12" i="143"/>
  <c r="N12" i="143"/>
  <c r="O15" i="143"/>
  <c r="O16" i="143"/>
  <c r="O17" i="143"/>
  <c r="O18" i="143"/>
  <c r="O19" i="143"/>
  <c r="O20" i="143"/>
  <c r="O21" i="143"/>
  <c r="K22" i="143"/>
  <c r="M22" i="143"/>
  <c r="N22" i="143"/>
  <c r="M24" i="143"/>
  <c r="N24" i="143"/>
  <c r="A26" i="143"/>
  <c r="B2" i="142"/>
  <c r="C3" i="142"/>
  <c r="D3" i="142"/>
  <c r="E3" i="142"/>
  <c r="F3" i="142"/>
  <c r="G3" i="142"/>
  <c r="H3" i="142"/>
  <c r="C17" i="142"/>
  <c r="C32" i="142" s="1"/>
  <c r="D17" i="142"/>
  <c r="D32" i="142" s="1"/>
  <c r="E17" i="142"/>
  <c r="F17" i="142"/>
  <c r="G17" i="142"/>
  <c r="G32" i="142" s="1"/>
  <c r="H17" i="142"/>
  <c r="H32" i="142" s="1"/>
  <c r="I17" i="142"/>
  <c r="J17" i="142"/>
  <c r="J32" i="142" s="1"/>
  <c r="K17" i="142"/>
  <c r="K32" i="142" s="1"/>
  <c r="A20" i="142"/>
  <c r="A21" i="142"/>
  <c r="A22" i="142"/>
  <c r="A23" i="142"/>
  <c r="A24" i="142"/>
  <c r="A25" i="142"/>
  <c r="A26" i="142"/>
  <c r="A27" i="142"/>
  <c r="A28" i="142"/>
  <c r="C30" i="142"/>
  <c r="D30" i="142"/>
  <c r="E30" i="142"/>
  <c r="F30" i="142"/>
  <c r="F32" i="142"/>
  <c r="G30" i="142"/>
  <c r="H30" i="142"/>
  <c r="I30" i="142"/>
  <c r="I32" i="142"/>
  <c r="J30" i="142"/>
  <c r="K30" i="142"/>
  <c r="E32" i="142"/>
  <c r="A34" i="142"/>
  <c r="A2" i="337"/>
  <c r="B2" i="337"/>
  <c r="C3" i="337"/>
  <c r="D3" i="337"/>
  <c r="E3" i="337"/>
  <c r="F3" i="337"/>
  <c r="G3" i="337"/>
  <c r="H3" i="337"/>
  <c r="C15" i="337"/>
  <c r="C17" i="337" s="1"/>
  <c r="D18" i="337" s="1"/>
  <c r="D15" i="337"/>
  <c r="D17" i="337" s="1"/>
  <c r="E15" i="337"/>
  <c r="E17" i="337" s="1"/>
  <c r="F15" i="337"/>
  <c r="F17" i="337" s="1"/>
  <c r="G15" i="337"/>
  <c r="G17" i="337" s="1"/>
  <c r="H18" i="337" s="1"/>
  <c r="H15" i="337"/>
  <c r="J15" i="337"/>
  <c r="J17" i="337" s="1"/>
  <c r="K15" i="337"/>
  <c r="L15" i="337"/>
  <c r="L17" i="337" s="1"/>
  <c r="H17" i="337"/>
  <c r="K17" i="337"/>
  <c r="A21" i="337"/>
  <c r="A22" i="337"/>
  <c r="A23" i="337"/>
  <c r="A24" i="337"/>
  <c r="A25" i="337"/>
  <c r="A26" i="337"/>
  <c r="A27" i="337"/>
  <c r="A28" i="337"/>
  <c r="A29" i="337"/>
  <c r="A30" i="337"/>
  <c r="C30" i="337"/>
  <c r="C32" i="337" s="1"/>
  <c r="D30" i="337"/>
  <c r="D32" i="337"/>
  <c r="E30" i="337"/>
  <c r="E32" i="337" s="1"/>
  <c r="F30" i="337"/>
  <c r="G30" i="337"/>
  <c r="G32" i="337" s="1"/>
  <c r="H30" i="337"/>
  <c r="H32" i="337" s="1"/>
  <c r="H33" i="337" s="1"/>
  <c r="J30" i="337"/>
  <c r="I30" i="337" s="1"/>
  <c r="K30" i="337"/>
  <c r="K32" i="337" s="1"/>
  <c r="L30" i="337"/>
  <c r="L32" i="337" s="1"/>
  <c r="L33" i="337" s="1"/>
  <c r="A31" i="337"/>
  <c r="F32" i="337"/>
  <c r="F33" i="337" s="1"/>
  <c r="F34" i="337" s="1"/>
  <c r="J32" i="337"/>
  <c r="A36" i="337"/>
  <c r="A37" i="337"/>
  <c r="I37" i="337"/>
  <c r="A38" i="337"/>
  <c r="I38" i="337"/>
  <c r="A39" i="337"/>
  <c r="A40" i="337"/>
  <c r="I40" i="337"/>
  <c r="A41" i="337"/>
  <c r="I41" i="337"/>
  <c r="A42" i="337"/>
  <c r="I42" i="337"/>
  <c r="A43" i="337"/>
  <c r="I43" i="337"/>
  <c r="A44" i="337"/>
  <c r="I44" i="337"/>
  <c r="A45" i="337"/>
  <c r="C45" i="337"/>
  <c r="D45" i="337"/>
  <c r="E45" i="337"/>
  <c r="E47" i="337" s="1"/>
  <c r="E48" i="337" s="1"/>
  <c r="F45" i="337"/>
  <c r="G45" i="337"/>
  <c r="G47" i="337" s="1"/>
  <c r="H45" i="337"/>
  <c r="H47" i="337" s="1"/>
  <c r="J45" i="337"/>
  <c r="J47" i="337" s="1"/>
  <c r="K45" i="337"/>
  <c r="K47" i="337" s="1"/>
  <c r="L45" i="337"/>
  <c r="L47" i="337" s="1"/>
  <c r="A46" i="337"/>
  <c r="I46" i="337"/>
  <c r="C47" i="337"/>
  <c r="D48" i="337" s="1"/>
  <c r="D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42" i="123"/>
  <c r="E50" i="123"/>
  <c r="F50" i="123"/>
  <c r="F42" i="123" s="1"/>
  <c r="G50" i="123"/>
  <c r="H50" i="123"/>
  <c r="I42" i="123"/>
  <c r="I50" i="123"/>
  <c r="J50" i="123"/>
  <c r="J42" i="123" s="1"/>
  <c r="K50" i="123"/>
  <c r="L42" i="123" s="1"/>
  <c r="L50" i="123"/>
  <c r="M50" i="123"/>
  <c r="A51" i="123"/>
  <c r="D51" i="123"/>
  <c r="E51" i="123"/>
  <c r="F51" i="123"/>
  <c r="G51" i="123"/>
  <c r="H51" i="123"/>
  <c r="I51" i="123"/>
  <c r="J51" i="123"/>
  <c r="K51" i="123"/>
  <c r="L51" i="123"/>
  <c r="M51" i="123"/>
  <c r="D53" i="123"/>
  <c r="E53" i="123"/>
  <c r="F53" i="123"/>
  <c r="G53" i="123"/>
  <c r="G10" i="123" s="1"/>
  <c r="F36" i="237" s="1"/>
  <c r="H53" i="123"/>
  <c r="H10" i="123" s="1"/>
  <c r="I53" i="123"/>
  <c r="J53" i="123"/>
  <c r="D56" i="123"/>
  <c r="E56" i="123"/>
  <c r="F56" i="123"/>
  <c r="G56" i="123"/>
  <c r="H56" i="123"/>
  <c r="I56" i="123"/>
  <c r="J56" i="123"/>
  <c r="K56" i="123"/>
  <c r="L56" i="123"/>
  <c r="L14" i="123" s="1"/>
  <c r="M56" i="123"/>
  <c r="M14" i="123" s="1"/>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H26" i="141" s="1"/>
  <c r="I22" i="141"/>
  <c r="J22" i="141"/>
  <c r="K22" i="141"/>
  <c r="L22" i="141"/>
  <c r="M22" i="141"/>
  <c r="A23" i="141"/>
  <c r="A2" i="128"/>
  <c r="B2" i="128"/>
  <c r="C3" i="128"/>
  <c r="D3" i="128"/>
  <c r="E3" i="128"/>
  <c r="F3" i="128"/>
  <c r="G3" i="128"/>
  <c r="H3" i="128"/>
  <c r="I3" i="128"/>
  <c r="A6" i="128"/>
  <c r="A9" i="128" s="1"/>
  <c r="C9" i="128"/>
  <c r="D9" i="128"/>
  <c r="E9" i="128"/>
  <c r="F9" i="128"/>
  <c r="G9" i="128"/>
  <c r="H9" i="128"/>
  <c r="H7" i="129" s="1"/>
  <c r="I9" i="128"/>
  <c r="I7" i="129" s="1"/>
  <c r="J9" i="128"/>
  <c r="K9" i="128"/>
  <c r="L9" i="128"/>
  <c r="A11" i="128"/>
  <c r="A12" i="128" s="1"/>
  <c r="A14" i="128"/>
  <c r="C14" i="128"/>
  <c r="D14" i="128"/>
  <c r="E14" i="128"/>
  <c r="F14" i="128"/>
  <c r="G14" i="128"/>
  <c r="H14" i="128"/>
  <c r="I14" i="128"/>
  <c r="J14" i="128"/>
  <c r="J8" i="129" s="1"/>
  <c r="K14" i="128"/>
  <c r="K8" i="129" s="1"/>
  <c r="L14" i="128"/>
  <c r="L8" i="129" s="1"/>
  <c r="C20" i="128"/>
  <c r="D20" i="128"/>
  <c r="E20" i="128"/>
  <c r="F20" i="128"/>
  <c r="G20" i="128"/>
  <c r="H20" i="128"/>
  <c r="I20" i="128"/>
  <c r="J20" i="128"/>
  <c r="K20" i="128"/>
  <c r="L20" i="128"/>
  <c r="A22" i="128"/>
  <c r="A26" i="128"/>
  <c r="C26" i="128"/>
  <c r="C19" i="129" s="1"/>
  <c r="D26" i="128"/>
  <c r="E26" i="128"/>
  <c r="F26" i="128"/>
  <c r="G26" i="128"/>
  <c r="G19" i="129" s="1"/>
  <c r="H26" i="128"/>
  <c r="H19" i="129" s="1"/>
  <c r="H24" i="129" s="1"/>
  <c r="G36" i="86" s="1"/>
  <c r="I26" i="128"/>
  <c r="J26" i="128"/>
  <c r="K26" i="128"/>
  <c r="L26" i="128"/>
  <c r="L19" i="129" s="1"/>
  <c r="A29" i="128"/>
  <c r="A32" i="128"/>
  <c r="C32" i="128"/>
  <c r="D32" i="128"/>
  <c r="E32" i="128"/>
  <c r="F32" i="128"/>
  <c r="G32" i="128"/>
  <c r="H32" i="128"/>
  <c r="I32" i="128"/>
  <c r="J32" i="128"/>
  <c r="K32" i="128"/>
  <c r="L32" i="128"/>
  <c r="A34" i="128"/>
  <c r="A38" i="128"/>
  <c r="C38" i="128"/>
  <c r="D38" i="128"/>
  <c r="E38" i="128"/>
  <c r="F38" i="128"/>
  <c r="G38" i="128"/>
  <c r="G32" i="129" s="1"/>
  <c r="G34" i="129" s="1"/>
  <c r="H38" i="128"/>
  <c r="H32" i="129" s="1"/>
  <c r="H34" i="129" s="1"/>
  <c r="I38" i="128"/>
  <c r="I32" i="129" s="1"/>
  <c r="I34" i="129" s="1"/>
  <c r="J38" i="128"/>
  <c r="J32" i="129" s="1"/>
  <c r="K38" i="128"/>
  <c r="K32" i="129" s="1"/>
  <c r="L38" i="128"/>
  <c r="L32" i="129" s="1"/>
  <c r="L34" i="129" s="1"/>
  <c r="A40" i="128"/>
  <c r="A43" i="128"/>
  <c r="C43" i="128"/>
  <c r="C37" i="129"/>
  <c r="D43" i="128"/>
  <c r="E43" i="128"/>
  <c r="F43" i="128"/>
  <c r="G43" i="128"/>
  <c r="G37" i="129" s="1"/>
  <c r="H43" i="128"/>
  <c r="I43" i="128"/>
  <c r="J43" i="128"/>
  <c r="J37" i="129" s="1"/>
  <c r="K43" i="128"/>
  <c r="L43" i="128"/>
  <c r="A45" i="128"/>
  <c r="A50" i="128" s="1"/>
  <c r="C50" i="128"/>
  <c r="D50" i="128"/>
  <c r="D38" i="129"/>
  <c r="E50" i="128"/>
  <c r="F50" i="128"/>
  <c r="F38" i="129" s="1"/>
  <c r="G50" i="128"/>
  <c r="H50" i="128"/>
  <c r="I50" i="128"/>
  <c r="J50" i="128"/>
  <c r="J38" i="129"/>
  <c r="K50" i="128"/>
  <c r="L50" i="128"/>
  <c r="A53" i="128"/>
  <c r="A54" i="128"/>
  <c r="C56" i="128"/>
  <c r="D56" i="128"/>
  <c r="E56" i="128"/>
  <c r="F56" i="128"/>
  <c r="G56" i="128"/>
  <c r="H56" i="128"/>
  <c r="I56" i="128"/>
  <c r="J56" i="128"/>
  <c r="K56" i="128"/>
  <c r="L56" i="128"/>
  <c r="A57" i="128"/>
  <c r="C69" i="128"/>
  <c r="D69" i="128"/>
  <c r="E69" i="128"/>
  <c r="F69" i="128"/>
  <c r="G69" i="128"/>
  <c r="H69" i="128"/>
  <c r="I69" i="128"/>
  <c r="J69" i="128"/>
  <c r="J46" i="129" s="1"/>
  <c r="K69" i="128"/>
  <c r="K46" i="129" s="1"/>
  <c r="L69" i="128"/>
  <c r="A70" i="128"/>
  <c r="A76" i="128"/>
  <c r="E82" i="128"/>
  <c r="F82" i="128"/>
  <c r="G82" i="128"/>
  <c r="D82" i="128"/>
  <c r="C82" i="128" s="1"/>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M38" i="246" s="1"/>
  <c r="M42" i="246" s="1"/>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G36" i="246"/>
  <c r="H36" i="246"/>
  <c r="I36" i="246"/>
  <c r="J36" i="246"/>
  <c r="K36" i="246"/>
  <c r="L36" i="246"/>
  <c r="M36" i="246"/>
  <c r="N36" i="246"/>
  <c r="O36" i="246"/>
  <c r="O38" i="246" s="1"/>
  <c r="O42" i="246" s="1"/>
  <c r="P36" i="246"/>
  <c r="Q36" i="246"/>
  <c r="A38" i="246"/>
  <c r="A39" i="246"/>
  <c r="R39" i="246"/>
  <c r="A40" i="246"/>
  <c r="R40" i="246"/>
  <c r="A41" i="246"/>
  <c r="R41" i="246"/>
  <c r="A42" i="246"/>
  <c r="A43" i="246"/>
  <c r="A2" i="255"/>
  <c r="B2" i="255"/>
  <c r="C3" i="255"/>
  <c r="D3" i="255"/>
  <c r="E3" i="255"/>
  <c r="F3" i="255"/>
  <c r="G3" i="255"/>
  <c r="H3" i="255"/>
  <c r="I3" i="255"/>
  <c r="A6" i="255"/>
  <c r="G5" i="127"/>
  <c r="L5" i="127"/>
  <c r="M45" i="123" s="1"/>
  <c r="A11" i="255"/>
  <c r="A17" i="255"/>
  <c r="A21" i="255" s="1"/>
  <c r="C8" i="127"/>
  <c r="D47" i="123"/>
  <c r="A23" i="255"/>
  <c r="A24" i="255" s="1"/>
  <c r="D9" i="127"/>
  <c r="E48" i="123"/>
  <c r="L9" i="127"/>
  <c r="A29" i="255"/>
  <c r="A34" i="255"/>
  <c r="C10" i="127"/>
  <c r="D49" i="123"/>
  <c r="D10" i="127"/>
  <c r="E49" i="123"/>
  <c r="H10" i="127"/>
  <c r="I49" i="123"/>
  <c r="K10" i="127"/>
  <c r="L49" i="123" s="1"/>
  <c r="L10" i="127"/>
  <c r="M49" i="123" s="1"/>
  <c r="Q10" i="137"/>
  <c r="C49" i="255"/>
  <c r="C20" i="127" s="1"/>
  <c r="B9" i="86" s="1"/>
  <c r="D49" i="255"/>
  <c r="D20" i="127" s="1"/>
  <c r="C9" i="86" s="1"/>
  <c r="E49" i="255"/>
  <c r="E20" i="127"/>
  <c r="D9" i="86" s="1"/>
  <c r="F49" i="255"/>
  <c r="G49" i="255"/>
  <c r="G20" i="127" s="1"/>
  <c r="F9" i="86" s="1"/>
  <c r="H49" i="255"/>
  <c r="H20" i="127"/>
  <c r="G9" i="86"/>
  <c r="I49" i="255"/>
  <c r="I20" i="127"/>
  <c r="H9" i="86"/>
  <c r="J49" i="255"/>
  <c r="K49" i="255"/>
  <c r="K20" i="127"/>
  <c r="P20" i="137" s="1"/>
  <c r="L49" i="255"/>
  <c r="L20" i="127" s="1"/>
  <c r="A52" i="255"/>
  <c r="A67" i="255"/>
  <c r="C65" i="255"/>
  <c r="C67" i="255"/>
  <c r="C25" i="127" s="1"/>
  <c r="D65" i="255"/>
  <c r="D67" i="255"/>
  <c r="D25" i="127" s="1"/>
  <c r="C11" i="86" s="1"/>
  <c r="E65" i="255"/>
  <c r="E67" i="255"/>
  <c r="E25" i="127"/>
  <c r="F65" i="255"/>
  <c r="F67" i="255"/>
  <c r="F25" i="127"/>
  <c r="G65" i="255"/>
  <c r="G67" i="255" s="1"/>
  <c r="G25" i="127" s="1"/>
  <c r="H65" i="255"/>
  <c r="H67" i="255"/>
  <c r="H25" i="127" s="1"/>
  <c r="I65" i="255"/>
  <c r="I67" i="255"/>
  <c r="I25" i="127" s="1"/>
  <c r="J65" i="255"/>
  <c r="J67" i="255" s="1"/>
  <c r="J25" i="127" s="1"/>
  <c r="K65" i="255"/>
  <c r="K67" i="255" s="1"/>
  <c r="K25" i="127" s="1"/>
  <c r="L65" i="255"/>
  <c r="L67" i="255" s="1"/>
  <c r="L25" i="127" s="1"/>
  <c r="A76" i="255"/>
  <c r="C76" i="255"/>
  <c r="D76" i="255"/>
  <c r="E76" i="255"/>
  <c r="E40" i="127" s="1"/>
  <c r="D21" i="86" s="1"/>
  <c r="F76" i="255"/>
  <c r="F40" i="127"/>
  <c r="E21" i="86" s="1"/>
  <c r="G76" i="255"/>
  <c r="H76" i="255"/>
  <c r="H40" i="127" s="1"/>
  <c r="G21" i="86" s="1"/>
  <c r="I76" i="255"/>
  <c r="I40" i="127"/>
  <c r="H21" i="86"/>
  <c r="J76" i="255"/>
  <c r="J40" i="127"/>
  <c r="O40" i="137"/>
  <c r="N40" i="137"/>
  <c r="K76" i="255"/>
  <c r="L76" i="255"/>
  <c r="L40" i="127"/>
  <c r="Q40" i="137"/>
  <c r="A78" i="255"/>
  <c r="A83" i="255"/>
  <c r="C83" i="255"/>
  <c r="D83" i="255"/>
  <c r="E83" i="255"/>
  <c r="E28" i="127"/>
  <c r="F83" i="255"/>
  <c r="F28" i="127"/>
  <c r="G83" i="255"/>
  <c r="G28" i="127"/>
  <c r="H83" i="255"/>
  <c r="H28" i="127"/>
  <c r="I83" i="255"/>
  <c r="I28" i="127"/>
  <c r="H13" i="86"/>
  <c r="J83" i="255"/>
  <c r="J28" i="127" s="1"/>
  <c r="O28" i="137" s="1"/>
  <c r="N28" i="137" s="1"/>
  <c r="K83" i="255"/>
  <c r="L83" i="255"/>
  <c r="A85" i="255"/>
  <c r="C88" i="255"/>
  <c r="C30" i="127"/>
  <c r="B15" i="86"/>
  <c r="D88" i="255"/>
  <c r="D30" i="127" s="1"/>
  <c r="E88" i="255"/>
  <c r="E30" i="127"/>
  <c r="D15" i="86"/>
  <c r="F88" i="255"/>
  <c r="F30" i="127"/>
  <c r="E15" i="86"/>
  <c r="G88" i="255"/>
  <c r="G30" i="127" s="1"/>
  <c r="F15" i="86" s="1"/>
  <c r="H88" i="255"/>
  <c r="I88" i="255"/>
  <c r="I30" i="127" s="1"/>
  <c r="H15" i="86" s="1"/>
  <c r="J88" i="255"/>
  <c r="J30" i="127" s="1"/>
  <c r="K88" i="255"/>
  <c r="K30" i="127" s="1"/>
  <c r="L88" i="255"/>
  <c r="L30" i="127" s="1"/>
  <c r="A95" i="255"/>
  <c r="C121" i="255"/>
  <c r="C127" i="255"/>
  <c r="C32" i="127"/>
  <c r="D121" i="255"/>
  <c r="D127" i="255" s="1"/>
  <c r="D32" i="127" s="1"/>
  <c r="E121" i="255"/>
  <c r="E127" i="255" s="1"/>
  <c r="E32" i="127" s="1"/>
  <c r="F121" i="255"/>
  <c r="F127" i="255" s="1"/>
  <c r="F32" i="127" s="1"/>
  <c r="G121" i="255"/>
  <c r="G127" i="255"/>
  <c r="G32" i="127"/>
  <c r="H121" i="255"/>
  <c r="H127" i="255" s="1"/>
  <c r="H32" i="127" s="1"/>
  <c r="I121" i="255"/>
  <c r="J121" i="255"/>
  <c r="J127" i="255" s="1"/>
  <c r="J32" i="127" s="1"/>
  <c r="O32" i="137" s="1"/>
  <c r="N32" i="137" s="1"/>
  <c r="K121" i="255"/>
  <c r="K127" i="255"/>
  <c r="K32" i="127"/>
  <c r="P32" i="137"/>
  <c r="L121" i="255"/>
  <c r="L127" i="255"/>
  <c r="L32" i="127"/>
  <c r="I127" i="255"/>
  <c r="I32" i="127" s="1"/>
  <c r="C157" i="255"/>
  <c r="D157" i="255"/>
  <c r="D34" i="127" s="1"/>
  <c r="E157" i="255"/>
  <c r="E34" i="127" s="1"/>
  <c r="F157" i="255"/>
  <c r="F34" i="127" s="1"/>
  <c r="G157" i="255"/>
  <c r="G34" i="127" s="1"/>
  <c r="F17" i="86" s="1"/>
  <c r="H157" i="255"/>
  <c r="H34" i="127" s="1"/>
  <c r="I157" i="255"/>
  <c r="I34" i="127" s="1"/>
  <c r="J157" i="255"/>
  <c r="J34" i="127" s="1"/>
  <c r="K157" i="255"/>
  <c r="K34" i="127" s="1"/>
  <c r="J17" i="86" s="1"/>
  <c r="L157" i="255"/>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K79" i="253"/>
  <c r="K60" i="86"/>
  <c r="A80" i="253"/>
  <c r="A2" i="248"/>
  <c r="B2" i="248"/>
  <c r="C3" i="248"/>
  <c r="D3" i="248"/>
  <c r="E3" i="248"/>
  <c r="F3" i="248"/>
  <c r="G3" i="248"/>
  <c r="H3" i="248"/>
  <c r="D6" i="248"/>
  <c r="E6" i="248"/>
  <c r="G6" i="248"/>
  <c r="H6" i="248"/>
  <c r="C7" i="248"/>
  <c r="D7" i="248"/>
  <c r="E7" i="248"/>
  <c r="F7" i="248"/>
  <c r="F37" i="248" s="1"/>
  <c r="G7" i="248"/>
  <c r="H7" i="248"/>
  <c r="J7" i="248"/>
  <c r="C8" i="248"/>
  <c r="D8" i="248"/>
  <c r="E8" i="248"/>
  <c r="F8" i="248"/>
  <c r="G8" i="248"/>
  <c r="G38" i="248" s="1"/>
  <c r="H8" i="248"/>
  <c r="I8" i="248"/>
  <c r="J8" i="248"/>
  <c r="K8" i="248"/>
  <c r="K38" i="248" s="1"/>
  <c r="C9" i="248"/>
  <c r="D9" i="248"/>
  <c r="D39" i="248" s="1"/>
  <c r="E9" i="248"/>
  <c r="F9" i="248"/>
  <c r="F39" i="248" s="1"/>
  <c r="G9" i="248"/>
  <c r="H9" i="248"/>
  <c r="H39" i="248" s="1"/>
  <c r="I9" i="248"/>
  <c r="J9" i="248"/>
  <c r="J39" i="248" s="1"/>
  <c r="K9" i="248"/>
  <c r="C10" i="248"/>
  <c r="D10" i="248"/>
  <c r="F10" i="248"/>
  <c r="G10" i="248"/>
  <c r="G40" i="248" s="1"/>
  <c r="H10" i="248"/>
  <c r="J10" i="248"/>
  <c r="K10" i="248"/>
  <c r="K40" i="248" s="1"/>
  <c r="C12" i="248"/>
  <c r="D12" i="248"/>
  <c r="F12" i="248"/>
  <c r="J12" i="248"/>
  <c r="K12" i="248"/>
  <c r="C13" i="248"/>
  <c r="D13" i="248"/>
  <c r="E13" i="248"/>
  <c r="F13" i="248"/>
  <c r="G13" i="248"/>
  <c r="H13" i="248"/>
  <c r="I13" i="248"/>
  <c r="I43" i="248" s="1"/>
  <c r="J13" i="248"/>
  <c r="K13" i="248"/>
  <c r="C14" i="248"/>
  <c r="C44" i="248" s="1"/>
  <c r="D14" i="248"/>
  <c r="E14" i="248"/>
  <c r="E44" i="248"/>
  <c r="F14" i="248"/>
  <c r="F44" i="248" s="1"/>
  <c r="G14" i="248"/>
  <c r="H14" i="248"/>
  <c r="H44" i="248"/>
  <c r="I14" i="248"/>
  <c r="I44" i="248" s="1"/>
  <c r="J14" i="248"/>
  <c r="K14" i="248"/>
  <c r="C15" i="248"/>
  <c r="C45" i="248" s="1"/>
  <c r="E15" i="248"/>
  <c r="E45" i="248" s="1"/>
  <c r="F15" i="248"/>
  <c r="J15" i="248"/>
  <c r="C16" i="248"/>
  <c r="D16" i="248"/>
  <c r="E16" i="248"/>
  <c r="E46" i="248" s="1"/>
  <c r="F16" i="248"/>
  <c r="G16" i="248"/>
  <c r="H16" i="248"/>
  <c r="H46" i="248" s="1"/>
  <c r="I16" i="248"/>
  <c r="J16" i="248"/>
  <c r="K16" i="248"/>
  <c r="A17" i="248"/>
  <c r="A32" i="248" s="1"/>
  <c r="A47" i="248" s="1"/>
  <c r="C17" i="248"/>
  <c r="D17" i="248"/>
  <c r="E17" i="248"/>
  <c r="F17" i="248"/>
  <c r="G17" i="248"/>
  <c r="H17" i="248"/>
  <c r="I17" i="248"/>
  <c r="I47" i="248" s="1"/>
  <c r="J17" i="248"/>
  <c r="K17" i="248"/>
  <c r="A18" i="248"/>
  <c r="A33" i="248" s="1"/>
  <c r="A48" i="248" s="1"/>
  <c r="C18" i="248"/>
  <c r="C48" i="248" s="1"/>
  <c r="D18" i="248"/>
  <c r="E18" i="248"/>
  <c r="F18" i="248"/>
  <c r="F48" i="248" s="1"/>
  <c r="G18" i="248"/>
  <c r="H18" i="248"/>
  <c r="I18" i="248"/>
  <c r="I48" i="248" s="1"/>
  <c r="J18" i="248"/>
  <c r="J48" i="248" s="1"/>
  <c r="K18" i="248"/>
  <c r="D21" i="248"/>
  <c r="E21" i="248"/>
  <c r="F21" i="248"/>
  <c r="H21" i="248"/>
  <c r="I21" i="248"/>
  <c r="C22" i="248"/>
  <c r="E22" i="248"/>
  <c r="F22" i="248"/>
  <c r="G22" i="248"/>
  <c r="H22" i="248"/>
  <c r="H26" i="248" s="1"/>
  <c r="I22" i="248"/>
  <c r="J22" i="248"/>
  <c r="K22" i="248"/>
  <c r="C23" i="248"/>
  <c r="D23" i="248"/>
  <c r="D38" i="248" s="1"/>
  <c r="E23" i="248"/>
  <c r="E38" i="248" s="1"/>
  <c r="F23" i="248"/>
  <c r="G23" i="248"/>
  <c r="H23" i="248"/>
  <c r="H38" i="248" s="1"/>
  <c r="I23" i="248"/>
  <c r="J23" i="248"/>
  <c r="K23" i="248"/>
  <c r="C24" i="248"/>
  <c r="C39" i="248" s="1"/>
  <c r="D24" i="248"/>
  <c r="E24" i="248"/>
  <c r="F24" i="248"/>
  <c r="G24" i="248"/>
  <c r="G39" i="248" s="1"/>
  <c r="H24" i="248"/>
  <c r="I24" i="248"/>
  <c r="J24" i="248"/>
  <c r="K24" i="248"/>
  <c r="K39" i="248" s="1"/>
  <c r="C25" i="248"/>
  <c r="D25" i="248"/>
  <c r="E25" i="248"/>
  <c r="F25" i="248"/>
  <c r="G25" i="248"/>
  <c r="H25" i="248"/>
  <c r="I25" i="248"/>
  <c r="J25" i="248"/>
  <c r="K25" i="248"/>
  <c r="A26" i="248"/>
  <c r="C27" i="248"/>
  <c r="D27" i="248"/>
  <c r="D42" i="248" s="1"/>
  <c r="E27" i="248"/>
  <c r="G27" i="248"/>
  <c r="K27" i="248"/>
  <c r="C28" i="248"/>
  <c r="D28" i="248"/>
  <c r="E28" i="248"/>
  <c r="F28" i="248"/>
  <c r="G28" i="248"/>
  <c r="H28" i="248"/>
  <c r="I28" i="248"/>
  <c r="J28" i="248"/>
  <c r="K28" i="248"/>
  <c r="C29" i="248"/>
  <c r="D29" i="248"/>
  <c r="E29" i="248"/>
  <c r="F29" i="248"/>
  <c r="G29" i="248"/>
  <c r="G44" i="248"/>
  <c r="H29" i="248"/>
  <c r="I29" i="248"/>
  <c r="J29" i="248"/>
  <c r="K29" i="248"/>
  <c r="K44" i="248" s="1"/>
  <c r="C30" i="248"/>
  <c r="D30" i="248"/>
  <c r="E30" i="248"/>
  <c r="G30" i="248"/>
  <c r="J30" i="248"/>
  <c r="K30" i="248"/>
  <c r="C31" i="248"/>
  <c r="C46" i="248" s="1"/>
  <c r="D31" i="248"/>
  <c r="E31" i="248"/>
  <c r="F31" i="248"/>
  <c r="G31" i="248"/>
  <c r="G46" i="248" s="1"/>
  <c r="H31" i="248"/>
  <c r="I31" i="248"/>
  <c r="J31" i="248"/>
  <c r="K31" i="248"/>
  <c r="C32" i="248"/>
  <c r="D32" i="248"/>
  <c r="E32" i="248"/>
  <c r="F32" i="248"/>
  <c r="F47" i="248"/>
  <c r="G32" i="248"/>
  <c r="G47" i="248" s="1"/>
  <c r="H32" i="248"/>
  <c r="I32" i="248"/>
  <c r="J32" i="248"/>
  <c r="K32" i="248"/>
  <c r="K47" i="248" s="1"/>
  <c r="C33" i="248"/>
  <c r="D33" i="248"/>
  <c r="E33" i="248"/>
  <c r="E48" i="248" s="1"/>
  <c r="F33" i="248"/>
  <c r="G33" i="248"/>
  <c r="H33" i="248"/>
  <c r="H48" i="248"/>
  <c r="I33" i="248"/>
  <c r="J33" i="248"/>
  <c r="K33" i="248"/>
  <c r="E37" i="248"/>
  <c r="J37" i="248"/>
  <c r="C38" i="248"/>
  <c r="F38" i="248"/>
  <c r="I38" i="248"/>
  <c r="J38" i="248"/>
  <c r="E39" i="248"/>
  <c r="I39" i="248"/>
  <c r="D40" i="248"/>
  <c r="H40" i="248"/>
  <c r="A41" i="248"/>
  <c r="A57" i="248" s="1"/>
  <c r="A42" i="248"/>
  <c r="A12" i="248" s="1"/>
  <c r="C42" i="248"/>
  <c r="A43" i="248"/>
  <c r="A13" i="248" s="1"/>
  <c r="A59" i="248" s="1"/>
  <c r="D43" i="248"/>
  <c r="E43" i="248"/>
  <c r="F43" i="248"/>
  <c r="H43" i="248"/>
  <c r="J43" i="248"/>
  <c r="A44" i="248"/>
  <c r="A14" i="248" s="1"/>
  <c r="J44" i="248"/>
  <c r="A45" i="248"/>
  <c r="A15" i="248" s="1"/>
  <c r="A79" i="248" s="1"/>
  <c r="D46" i="248"/>
  <c r="I46" i="248"/>
  <c r="C47" i="248"/>
  <c r="E47" i="248"/>
  <c r="D48" i="248"/>
  <c r="G48" i="248"/>
  <c r="K48" i="248"/>
  <c r="C57" i="248"/>
  <c r="D57" i="248"/>
  <c r="E57" i="248"/>
  <c r="F57" i="248"/>
  <c r="G57" i="248"/>
  <c r="H57" i="248"/>
  <c r="I57" i="248"/>
  <c r="J57" i="248"/>
  <c r="K57" i="248"/>
  <c r="C60" i="248"/>
  <c r="D60" i="248"/>
  <c r="D65" i="248" s="1"/>
  <c r="E60" i="248"/>
  <c r="F60" i="248"/>
  <c r="G60" i="248"/>
  <c r="G65" i="248" s="1"/>
  <c r="H60" i="248"/>
  <c r="I60" i="248"/>
  <c r="J60" i="248"/>
  <c r="K60" i="248"/>
  <c r="C62" i="248"/>
  <c r="D62" i="248"/>
  <c r="E62" i="248"/>
  <c r="F62" i="248"/>
  <c r="G62" i="248"/>
  <c r="H62" i="248"/>
  <c r="I62" i="248"/>
  <c r="J62" i="248"/>
  <c r="K62" i="248"/>
  <c r="K65" i="248"/>
  <c r="A63" i="248"/>
  <c r="C63" i="248"/>
  <c r="D63" i="248"/>
  <c r="E63" i="248"/>
  <c r="F63" i="248"/>
  <c r="G63" i="248"/>
  <c r="H63" i="248"/>
  <c r="H65" i="248" s="1"/>
  <c r="I63" i="248"/>
  <c r="J63" i="248"/>
  <c r="K63" i="248"/>
  <c r="C64" i="248"/>
  <c r="D64" i="248"/>
  <c r="E64" i="248"/>
  <c r="F64" i="248"/>
  <c r="G64" i="248"/>
  <c r="H64" i="248"/>
  <c r="I64" i="248"/>
  <c r="J64" i="248"/>
  <c r="K64" i="248"/>
  <c r="A68" i="248"/>
  <c r="C70" i="248"/>
  <c r="D70" i="248"/>
  <c r="E70" i="248"/>
  <c r="F70" i="248"/>
  <c r="G70" i="248"/>
  <c r="H70" i="248"/>
  <c r="I70" i="248"/>
  <c r="J70" i="248"/>
  <c r="K70" i="248"/>
  <c r="C71" i="248"/>
  <c r="D71" i="248"/>
  <c r="E71" i="248"/>
  <c r="H71" i="248"/>
  <c r="K71" i="248"/>
  <c r="C72" i="248"/>
  <c r="D72" i="248"/>
  <c r="E72" i="248"/>
  <c r="F72" i="248"/>
  <c r="G72" i="248"/>
  <c r="H72" i="248"/>
  <c r="I72" i="248"/>
  <c r="J72" i="248"/>
  <c r="K72" i="248"/>
  <c r="C73" i="248"/>
  <c r="D73" i="248"/>
  <c r="E73" i="248"/>
  <c r="F73" i="248"/>
  <c r="G73" i="248"/>
  <c r="H73" i="248"/>
  <c r="I73" i="248"/>
  <c r="J73" i="248"/>
  <c r="K73" i="248"/>
  <c r="C74" i="248"/>
  <c r="D74" i="248"/>
  <c r="E74" i="248"/>
  <c r="E75" i="248" s="1"/>
  <c r="E69" i="248" s="1"/>
  <c r="F74" i="248"/>
  <c r="G74" i="248"/>
  <c r="H74" i="248"/>
  <c r="I74" i="248"/>
  <c r="J74" i="248"/>
  <c r="A75" i="248"/>
  <c r="C76" i="248"/>
  <c r="D76" i="248"/>
  <c r="E76" i="248"/>
  <c r="F76" i="248"/>
  <c r="G76" i="248"/>
  <c r="H76" i="248"/>
  <c r="I76" i="248"/>
  <c r="K76" i="248"/>
  <c r="C77" i="248"/>
  <c r="D77" i="248"/>
  <c r="E77" i="248"/>
  <c r="F77" i="248"/>
  <c r="G77" i="248"/>
  <c r="H77" i="248"/>
  <c r="I77" i="248"/>
  <c r="J77" i="248"/>
  <c r="K77" i="248"/>
  <c r="C78" i="248"/>
  <c r="D78" i="248"/>
  <c r="E78" i="248"/>
  <c r="F78" i="248"/>
  <c r="G78" i="248"/>
  <c r="H78" i="248"/>
  <c r="I78" i="248"/>
  <c r="J78" i="248"/>
  <c r="K78" i="248"/>
  <c r="C79" i="248"/>
  <c r="D79" i="248"/>
  <c r="E79" i="248"/>
  <c r="G79" i="248"/>
  <c r="J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D12" i="237"/>
  <c r="E12" i="237"/>
  <c r="F12" i="237"/>
  <c r="G12" i="237"/>
  <c r="H12" i="237"/>
  <c r="J12" i="237"/>
  <c r="K12" i="237"/>
  <c r="L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c r="L52" i="237"/>
  <c r="L16" i="237"/>
  <c r="A53" i="237"/>
  <c r="A54" i="237"/>
  <c r="C54" i="237"/>
  <c r="D54" i="237"/>
  <c r="E54" i="237"/>
  <c r="F54" i="237"/>
  <c r="G54" i="237"/>
  <c r="H54" i="237"/>
  <c r="I54" i="237"/>
  <c r="J54" i="237"/>
  <c r="J67" i="237" s="1"/>
  <c r="K54" i="237"/>
  <c r="L54" i="237"/>
  <c r="A55" i="237"/>
  <c r="A56" i="237"/>
  <c r="C67" i="237"/>
  <c r="D67" i="237"/>
  <c r="E67" i="237"/>
  <c r="F67" i="237"/>
  <c r="G67" i="237"/>
  <c r="H67" i="237"/>
  <c r="I67" i="237"/>
  <c r="K67" i="237"/>
  <c r="L67" i="237"/>
  <c r="A2" i="131"/>
  <c r="B2" i="131"/>
  <c r="C3" i="131"/>
  <c r="D3" i="131"/>
  <c r="E3" i="131"/>
  <c r="F3" i="131"/>
  <c r="G3" i="131"/>
  <c r="H3" i="131"/>
  <c r="I3" i="131"/>
  <c r="J6" i="131"/>
  <c r="K6" i="131"/>
  <c r="L6" i="131"/>
  <c r="M53" i="123" s="1"/>
  <c r="J7" i="131"/>
  <c r="K7" i="131"/>
  <c r="L7" i="131"/>
  <c r="J8" i="131"/>
  <c r="K53" i="123" s="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E17" i="131"/>
  <c r="F17" i="131"/>
  <c r="G17" i="131"/>
  <c r="H17" i="131"/>
  <c r="G42" i="86"/>
  <c r="I17" i="131"/>
  <c r="J21" i="131"/>
  <c r="K21" i="131"/>
  <c r="L21" i="131"/>
  <c r="J22" i="131"/>
  <c r="K22" i="131"/>
  <c r="K27" i="131" s="1"/>
  <c r="J43" i="86" s="1"/>
  <c r="L22" i="131"/>
  <c r="J23" i="131"/>
  <c r="K23" i="131"/>
  <c r="L23" i="131"/>
  <c r="J24" i="131"/>
  <c r="K24" i="131"/>
  <c r="L24" i="131"/>
  <c r="J26" i="131"/>
  <c r="K26" i="131"/>
  <c r="L26" i="131"/>
  <c r="C27" i="131"/>
  <c r="D27" i="131"/>
  <c r="E27" i="131"/>
  <c r="D43" i="86"/>
  <c r="F27" i="131"/>
  <c r="G27" i="131"/>
  <c r="F43" i="86" s="1"/>
  <c r="H27" i="131"/>
  <c r="G43" i="86" s="1"/>
  <c r="I27" i="131"/>
  <c r="I38" i="131" s="1"/>
  <c r="I40" i="131" s="1"/>
  <c r="J31" i="131"/>
  <c r="K31" i="131"/>
  <c r="K49" i="88" s="1"/>
  <c r="L31" i="131"/>
  <c r="J32" i="131"/>
  <c r="K32" i="131"/>
  <c r="K48" i="131" s="1"/>
  <c r="L32" i="131"/>
  <c r="J33" i="131"/>
  <c r="K33" i="131"/>
  <c r="L33" i="131"/>
  <c r="J35" i="131"/>
  <c r="J49" i="131" s="1"/>
  <c r="K35" i="131"/>
  <c r="L35" i="131"/>
  <c r="L49" i="131" s="1"/>
  <c r="C36" i="131"/>
  <c r="D36" i="131"/>
  <c r="C44" i="86" s="1"/>
  <c r="E36" i="131"/>
  <c r="F36" i="131"/>
  <c r="E44" i="86"/>
  <c r="G36" i="131"/>
  <c r="H36" i="131"/>
  <c r="G44" i="86" s="1"/>
  <c r="I36" i="131"/>
  <c r="J39" i="131"/>
  <c r="A41" i="131"/>
  <c r="C45" i="131"/>
  <c r="C47" i="131" s="1"/>
  <c r="D45" i="131"/>
  <c r="E45" i="131"/>
  <c r="F45" i="131"/>
  <c r="G45" i="131"/>
  <c r="H45" i="131"/>
  <c r="I45" i="131"/>
  <c r="C46" i="131"/>
  <c r="D46" i="131"/>
  <c r="E46" i="131"/>
  <c r="F46" i="131"/>
  <c r="G46" i="131"/>
  <c r="H46" i="131"/>
  <c r="I46" i="131"/>
  <c r="I47" i="131" s="1"/>
  <c r="I50" i="131" s="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D7" i="129"/>
  <c r="D36" i="142" s="1"/>
  <c r="E7" i="129"/>
  <c r="F7" i="129"/>
  <c r="G7" i="129"/>
  <c r="J7" i="129"/>
  <c r="I36" i="142" s="1"/>
  <c r="K7" i="129"/>
  <c r="L7" i="129"/>
  <c r="C8" i="129"/>
  <c r="C35" i="237"/>
  <c r="D8" i="129"/>
  <c r="D35" i="237"/>
  <c r="E8" i="129"/>
  <c r="F8" i="129"/>
  <c r="G55" i="123" s="1"/>
  <c r="G8" i="129"/>
  <c r="G35" i="237" s="1"/>
  <c r="H8" i="129"/>
  <c r="H35" i="237" s="1"/>
  <c r="I8" i="129"/>
  <c r="J55" i="123" s="1"/>
  <c r="G84" i="123" s="1"/>
  <c r="C12" i="129"/>
  <c r="D19" i="129"/>
  <c r="D24" i="129" s="1"/>
  <c r="C36" i="86" s="1"/>
  <c r="E19" i="129"/>
  <c r="E24" i="129"/>
  <c r="F19" i="129"/>
  <c r="F24" i="129" s="1"/>
  <c r="I19" i="129"/>
  <c r="J19" i="129"/>
  <c r="K19" i="129"/>
  <c r="K24" i="129" s="1"/>
  <c r="J36" i="86" s="1"/>
  <c r="I24" i="129"/>
  <c r="H36" i="86" s="1"/>
  <c r="J24" i="129"/>
  <c r="I36" i="86" s="1"/>
  <c r="C30" i="129"/>
  <c r="D30" i="129"/>
  <c r="E30" i="129"/>
  <c r="F30" i="129"/>
  <c r="G30" i="129"/>
  <c r="H30" i="129"/>
  <c r="I30" i="129"/>
  <c r="J30" i="129"/>
  <c r="K30" i="129"/>
  <c r="K34" i="129" s="1"/>
  <c r="K40" i="129" s="1"/>
  <c r="L30" i="129"/>
  <c r="C32" i="129"/>
  <c r="C34" i="129" s="1"/>
  <c r="D32" i="129"/>
  <c r="D34" i="129"/>
  <c r="E32" i="129"/>
  <c r="F32" i="129"/>
  <c r="D37" i="129"/>
  <c r="E37" i="129"/>
  <c r="F37" i="129"/>
  <c r="F11" i="88"/>
  <c r="H37" i="129"/>
  <c r="H11" i="88"/>
  <c r="I37" i="129"/>
  <c r="K37" i="129"/>
  <c r="L37" i="129"/>
  <c r="C38" i="129"/>
  <c r="E38" i="129"/>
  <c r="G38" i="129"/>
  <c r="G39" i="129" s="1"/>
  <c r="H38" i="129"/>
  <c r="H39" i="129"/>
  <c r="I38" i="129"/>
  <c r="K38" i="129"/>
  <c r="L38" i="129"/>
  <c r="C39" i="129"/>
  <c r="K39" i="129"/>
  <c r="L39" i="129"/>
  <c r="C46" i="129"/>
  <c r="D46" i="129"/>
  <c r="D48" i="129" s="1"/>
  <c r="E46" i="129"/>
  <c r="E48" i="129" s="1"/>
  <c r="F46" i="129"/>
  <c r="G46" i="129"/>
  <c r="G48" i="129" s="1"/>
  <c r="H46" i="129"/>
  <c r="H48" i="129"/>
  <c r="G39" i="86" s="1"/>
  <c r="I46" i="129"/>
  <c r="L46" i="129"/>
  <c r="C48" i="129"/>
  <c r="F48" i="129"/>
  <c r="I48" i="129"/>
  <c r="H39" i="86" s="1"/>
  <c r="L48" i="129"/>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A7" i="343"/>
  <c r="A176" i="343" s="1"/>
  <c r="L7" i="343"/>
  <c r="Q7" i="343"/>
  <c r="J7" i="343" s="1"/>
  <c r="U7" i="343"/>
  <c r="K7" i="343" s="1"/>
  <c r="A8" i="343"/>
  <c r="L8" i="343"/>
  <c r="L6" i="343" s="1"/>
  <c r="Q8" i="343"/>
  <c r="J8" i="343"/>
  <c r="U8" i="343"/>
  <c r="K8" i="343" s="1"/>
  <c r="A9" i="343"/>
  <c r="A178" i="343" s="1"/>
  <c r="L9" i="343"/>
  <c r="Q9" i="343"/>
  <c r="J9" i="343"/>
  <c r="U9" i="343"/>
  <c r="K9" i="343"/>
  <c r="A10" i="343"/>
  <c r="K10" i="343"/>
  <c r="L10" i="343"/>
  <c r="Q10" i="343"/>
  <c r="J10" i="343"/>
  <c r="U10" i="343"/>
  <c r="A11" i="343"/>
  <c r="A180" i="343" s="1"/>
  <c r="J11" i="343"/>
  <c r="L11" i="343"/>
  <c r="Q11" i="343"/>
  <c r="U11" i="343"/>
  <c r="K11" i="343"/>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J15" i="343"/>
  <c r="L15" i="343"/>
  <c r="Q15" i="343"/>
  <c r="U15" i="343"/>
  <c r="K15" i="343" s="1"/>
  <c r="A16" i="343"/>
  <c r="A185" i="343" s="1"/>
  <c r="L16" i="343"/>
  <c r="Q16" i="343"/>
  <c r="J16" i="343" s="1"/>
  <c r="U16" i="343"/>
  <c r="K16" i="343" s="1"/>
  <c r="C17" i="343"/>
  <c r="D17" i="343"/>
  <c r="E17" i="343"/>
  <c r="F17" i="343"/>
  <c r="G17" i="343"/>
  <c r="H17" i="343"/>
  <c r="I17" i="343"/>
  <c r="N17" i="343"/>
  <c r="O17" i="343"/>
  <c r="P17" i="343"/>
  <c r="R17" i="343"/>
  <c r="S17" i="343"/>
  <c r="T17" i="343"/>
  <c r="V17" i="343"/>
  <c r="W17" i="343"/>
  <c r="X17" i="343"/>
  <c r="A18" i="343"/>
  <c r="A187" i="343" s="1"/>
  <c r="L18" i="343"/>
  <c r="Q18" i="343"/>
  <c r="U18" i="343"/>
  <c r="K18" i="343" s="1"/>
  <c r="A19" i="343"/>
  <c r="L19" i="343"/>
  <c r="Q19" i="343"/>
  <c r="J19" i="343" s="1"/>
  <c r="U19" i="343"/>
  <c r="K19" i="343" s="1"/>
  <c r="A20" i="343"/>
  <c r="A189" i="343" s="1"/>
  <c r="L20" i="343"/>
  <c r="Q20" i="343"/>
  <c r="J20" i="343" s="1"/>
  <c r="U20" i="343"/>
  <c r="K20" i="343" s="1"/>
  <c r="A21" i="343"/>
  <c r="A190" i="343" s="1"/>
  <c r="J21" i="343"/>
  <c r="L21" i="343"/>
  <c r="Q21" i="343"/>
  <c r="U21" i="343"/>
  <c r="K21" i="343" s="1"/>
  <c r="A22" i="343"/>
  <c r="A191" i="343" s="1"/>
  <c r="L22" i="343"/>
  <c r="Q22" i="343"/>
  <c r="J22" i="343" s="1"/>
  <c r="U22" i="343"/>
  <c r="K22" i="343" s="1"/>
  <c r="A23" i="343"/>
  <c r="L23" i="343"/>
  <c r="Q23" i="343"/>
  <c r="J23" i="343"/>
  <c r="U23" i="343"/>
  <c r="K23" i="343"/>
  <c r="A24" i="343"/>
  <c r="A193" i="343" s="1"/>
  <c r="L24" i="343"/>
  <c r="Q24" i="343"/>
  <c r="J24" i="343"/>
  <c r="U24" i="343"/>
  <c r="K24" i="343" s="1"/>
  <c r="A25" i="343"/>
  <c r="A194" i="343" s="1"/>
  <c r="L25" i="343"/>
  <c r="Q25" i="343"/>
  <c r="J25" i="343" s="1"/>
  <c r="U25" i="343"/>
  <c r="K25" i="343"/>
  <c r="A26" i="343"/>
  <c r="L26" i="343"/>
  <c r="Q26" i="343"/>
  <c r="J26" i="343" s="1"/>
  <c r="U26" i="343"/>
  <c r="K26" i="343" s="1"/>
  <c r="A27" i="343"/>
  <c r="A196" i="343"/>
  <c r="L27" i="343"/>
  <c r="Q27" i="343"/>
  <c r="J27" i="343" s="1"/>
  <c r="U27" i="343"/>
  <c r="K27" i="343" s="1"/>
  <c r="C28" i="343"/>
  <c r="D28" i="343"/>
  <c r="E28" i="343"/>
  <c r="F28" i="343"/>
  <c r="G28" i="343"/>
  <c r="H28" i="343"/>
  <c r="I28" i="343"/>
  <c r="N28" i="343"/>
  <c r="O28" i="343"/>
  <c r="P28" i="343"/>
  <c r="R28" i="343"/>
  <c r="S28" i="343"/>
  <c r="T28" i="343"/>
  <c r="V28" i="343"/>
  <c r="W28" i="343"/>
  <c r="X28" i="343"/>
  <c r="A29" i="343"/>
  <c r="A198" i="343" s="1"/>
  <c r="L29" i="343"/>
  <c r="L28" i="343" s="1"/>
  <c r="L8" i="126" s="1"/>
  <c r="Q29" i="343"/>
  <c r="U29" i="343"/>
  <c r="K29" i="343"/>
  <c r="A30" i="343"/>
  <c r="A199" i="343" s="1"/>
  <c r="L30" i="343"/>
  <c r="Q30" i="343"/>
  <c r="J30" i="343"/>
  <c r="U30" i="343"/>
  <c r="K30" i="343" s="1"/>
  <c r="A31" i="343"/>
  <c r="L31" i="343"/>
  <c r="Q31" i="343"/>
  <c r="J31" i="343" s="1"/>
  <c r="U31" i="343"/>
  <c r="K31" i="343" s="1"/>
  <c r="A32" i="343"/>
  <c r="A201" i="343" s="1"/>
  <c r="L32" i="343"/>
  <c r="Q32" i="343"/>
  <c r="J32" i="343" s="1"/>
  <c r="U32" i="343"/>
  <c r="K32" i="343" s="1"/>
  <c r="A33" i="343"/>
  <c r="A202" i="343"/>
  <c r="L33" i="343"/>
  <c r="Q33" i="343"/>
  <c r="Q28"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L38" i="343"/>
  <c r="Q38" i="343"/>
  <c r="J38" i="343"/>
  <c r="U38" i="343"/>
  <c r="K38" i="343" s="1"/>
  <c r="C39" i="343"/>
  <c r="D39" i="343"/>
  <c r="E39" i="343"/>
  <c r="F39" i="343"/>
  <c r="G39" i="343"/>
  <c r="H39" i="343"/>
  <c r="I39" i="343"/>
  <c r="N39" i="343"/>
  <c r="O39" i="343"/>
  <c r="P39" i="343"/>
  <c r="R39" i="343"/>
  <c r="S39" i="343"/>
  <c r="T39" i="343"/>
  <c r="V39" i="343"/>
  <c r="W39" i="343"/>
  <c r="X39" i="343"/>
  <c r="A40" i="343"/>
  <c r="A209" i="343" s="1"/>
  <c r="K40" i="343"/>
  <c r="L40" i="343"/>
  <c r="Q40" i="343"/>
  <c r="U40" i="343"/>
  <c r="A41" i="343"/>
  <c r="A210" i="343" s="1"/>
  <c r="L41" i="343"/>
  <c r="Q41" i="343"/>
  <c r="J41" i="343" s="1"/>
  <c r="U41" i="343"/>
  <c r="K41" i="343"/>
  <c r="A42" i="343"/>
  <c r="A211" i="343" s="1"/>
  <c r="L42" i="343"/>
  <c r="Q42" i="343"/>
  <c r="J42" i="343"/>
  <c r="U42" i="343"/>
  <c r="K42" i="343" s="1"/>
  <c r="A43" i="343"/>
  <c r="A212" i="343" s="1"/>
  <c r="L43" i="343"/>
  <c r="Q43" i="343"/>
  <c r="J43" i="343"/>
  <c r="U43" i="343"/>
  <c r="K43" i="343"/>
  <c r="A44" i="343"/>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c r="L47" i="343"/>
  <c r="Q47" i="343"/>
  <c r="J47" i="343" s="1"/>
  <c r="U47" i="343"/>
  <c r="K47" i="343" s="1"/>
  <c r="A48" i="343"/>
  <c r="L48" i="343"/>
  <c r="Q48" i="343"/>
  <c r="J48" i="343"/>
  <c r="U48" i="343"/>
  <c r="K48" i="343" s="1"/>
  <c r="A49" i="343"/>
  <c r="J49" i="343"/>
  <c r="L49" i="343"/>
  <c r="Q49" i="343"/>
  <c r="U49" i="343"/>
  <c r="K49" i="343" s="1"/>
  <c r="C50" i="343"/>
  <c r="D50" i="343"/>
  <c r="E50" i="343"/>
  <c r="F50" i="343"/>
  <c r="G50" i="343"/>
  <c r="H50" i="343"/>
  <c r="I50" i="343"/>
  <c r="N50" i="343"/>
  <c r="O50" i="343"/>
  <c r="P50" i="343"/>
  <c r="R50" i="343"/>
  <c r="S50" i="343"/>
  <c r="T50" i="343"/>
  <c r="V50" i="343"/>
  <c r="W50" i="343"/>
  <c r="X50" i="343"/>
  <c r="A51" i="343"/>
  <c r="L51" i="343"/>
  <c r="Q51" i="343"/>
  <c r="J51" i="343" s="1"/>
  <c r="U51" i="343"/>
  <c r="K51" i="343" s="1"/>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J55" i="343"/>
  <c r="L55" i="343"/>
  <c r="L50" i="343" s="1"/>
  <c r="L10" i="126" s="1"/>
  <c r="Q55" i="343"/>
  <c r="U55" i="343"/>
  <c r="K55" i="343" s="1"/>
  <c r="A56" i="343"/>
  <c r="A225" i="343" s="1"/>
  <c r="L56" i="343"/>
  <c r="Q56" i="343"/>
  <c r="J56" i="343" s="1"/>
  <c r="U56" i="343"/>
  <c r="K56" i="343" s="1"/>
  <c r="A57" i="343"/>
  <c r="L57" i="343"/>
  <c r="Q57" i="343"/>
  <c r="J57" i="343"/>
  <c r="U57" i="343"/>
  <c r="K57" i="343"/>
  <c r="A58" i="343"/>
  <c r="A227" i="343" s="1"/>
  <c r="L58" i="343"/>
  <c r="Q58" i="343"/>
  <c r="J58" i="343"/>
  <c r="U58" i="343"/>
  <c r="K58" i="343" s="1"/>
  <c r="A59" i="343"/>
  <c r="A228" i="343" s="1"/>
  <c r="L59" i="343"/>
  <c r="Q59" i="343"/>
  <c r="J59" i="343" s="1"/>
  <c r="U59" i="343"/>
  <c r="K59" i="343"/>
  <c r="A60" i="343"/>
  <c r="A229" i="343" s="1"/>
  <c r="L60" i="343"/>
  <c r="Q60" i="343"/>
  <c r="J60" i="343"/>
  <c r="U60" i="343"/>
  <c r="K60" i="343" s="1"/>
  <c r="C61" i="343"/>
  <c r="D61" i="343"/>
  <c r="E61" i="343"/>
  <c r="F61" i="343"/>
  <c r="G61" i="343"/>
  <c r="H61" i="343"/>
  <c r="I61" i="343"/>
  <c r="N61" i="343"/>
  <c r="O61" i="343"/>
  <c r="P61" i="343"/>
  <c r="R61" i="343"/>
  <c r="S61" i="343"/>
  <c r="T61" i="343"/>
  <c r="V61" i="343"/>
  <c r="W61" i="343"/>
  <c r="X61" i="343"/>
  <c r="A62" i="343"/>
  <c r="A231" i="343" s="1"/>
  <c r="K62" i="343"/>
  <c r="L62" i="343"/>
  <c r="Q62" i="343"/>
  <c r="U62" i="343"/>
  <c r="A63" i="343"/>
  <c r="L63" i="343"/>
  <c r="Q63" i="343"/>
  <c r="J63" i="343"/>
  <c r="U63" i="343"/>
  <c r="K63" i="343"/>
  <c r="A64" i="343"/>
  <c r="A233" i="343"/>
  <c r="L64" i="343"/>
  <c r="Q64" i="343"/>
  <c r="J64" i="343"/>
  <c r="U64" i="343"/>
  <c r="K64" i="343" s="1"/>
  <c r="A65" i="343"/>
  <c r="A234" i="343" s="1"/>
  <c r="L65" i="343"/>
  <c r="Q65" i="343"/>
  <c r="J65" i="343" s="1"/>
  <c r="U65" i="343"/>
  <c r="K65" i="343"/>
  <c r="A66" i="343"/>
  <c r="A235" i="343"/>
  <c r="L66" i="343"/>
  <c r="Q66" i="343"/>
  <c r="J66" i="343"/>
  <c r="U66" i="343"/>
  <c r="K66" i="343" s="1"/>
  <c r="A67" i="343"/>
  <c r="A236" i="343" s="1"/>
  <c r="L67" i="343"/>
  <c r="Q67" i="343"/>
  <c r="J67" i="343"/>
  <c r="U67" i="343"/>
  <c r="K67" i="343"/>
  <c r="A68" i="343"/>
  <c r="A237" i="343" s="1"/>
  <c r="L68" i="343"/>
  <c r="Q68" i="343"/>
  <c r="J68" i="343"/>
  <c r="U68" i="343"/>
  <c r="K68" i="343" s="1"/>
  <c r="A69" i="343"/>
  <c r="A238" i="343" s="1"/>
  <c r="L69" i="343"/>
  <c r="Q69" i="343"/>
  <c r="J69" i="343" s="1"/>
  <c r="U69" i="343"/>
  <c r="K69" i="343"/>
  <c r="A70" i="343"/>
  <c r="L70" i="343"/>
  <c r="Q70" i="343"/>
  <c r="J70" i="343" s="1"/>
  <c r="U70" i="343"/>
  <c r="U61" i="343" s="1"/>
  <c r="A71" i="343"/>
  <c r="A240" i="343" s="1"/>
  <c r="L71" i="343"/>
  <c r="Q71" i="343"/>
  <c r="J71" i="343" s="1"/>
  <c r="U71" i="343"/>
  <c r="K71" i="343" s="1"/>
  <c r="C72" i="343"/>
  <c r="D72" i="343"/>
  <c r="E72" i="343"/>
  <c r="F72" i="343"/>
  <c r="G72" i="343"/>
  <c r="H72" i="343"/>
  <c r="I72" i="343"/>
  <c r="N72" i="343"/>
  <c r="O72" i="343"/>
  <c r="P72" i="343"/>
  <c r="R72" i="343"/>
  <c r="S72" i="343"/>
  <c r="T72" i="343"/>
  <c r="V72" i="343"/>
  <c r="W72" i="343"/>
  <c r="X72" i="343"/>
  <c r="A73" i="343"/>
  <c r="L73" i="343"/>
  <c r="L72" i="343" s="1"/>
  <c r="L12" i="126" s="1"/>
  <c r="Q73" i="343"/>
  <c r="J73" i="343" s="1"/>
  <c r="U73" i="343"/>
  <c r="K73" i="343"/>
  <c r="A74" i="343"/>
  <c r="A243" i="343"/>
  <c r="L74" i="343"/>
  <c r="Q74" i="343"/>
  <c r="J74" i="343"/>
  <c r="U74" i="343"/>
  <c r="K74" i="343" s="1"/>
  <c r="A75" i="343"/>
  <c r="A244" i="343" s="1"/>
  <c r="L75" i="343"/>
  <c r="Q75" i="343"/>
  <c r="J75" i="343" s="1"/>
  <c r="U75" i="343"/>
  <c r="K75" i="343"/>
  <c r="A76" i="343"/>
  <c r="A245" i="343" s="1"/>
  <c r="L76" i="343"/>
  <c r="Q76" i="343"/>
  <c r="J76" i="343"/>
  <c r="U76" i="343"/>
  <c r="K76" i="343" s="1"/>
  <c r="A77" i="343"/>
  <c r="A246" i="343" s="1"/>
  <c r="J77" i="343"/>
  <c r="L77" i="343"/>
  <c r="Q77" i="343"/>
  <c r="U77" i="343"/>
  <c r="K77" i="343"/>
  <c r="A78" i="343"/>
  <c r="L78" i="343"/>
  <c r="Q78" i="343"/>
  <c r="J78" i="343" s="1"/>
  <c r="U78" i="343"/>
  <c r="K78" i="343" s="1"/>
  <c r="A79" i="343"/>
  <c r="A248" i="343" s="1"/>
  <c r="L79" i="343"/>
  <c r="Q79" i="343"/>
  <c r="J79" i="343" s="1"/>
  <c r="U79" i="343"/>
  <c r="K79" i="343" s="1"/>
  <c r="A80" i="343"/>
  <c r="L80" i="343"/>
  <c r="Q80" i="343"/>
  <c r="J80" i="343"/>
  <c r="U80" i="343"/>
  <c r="K80" i="343" s="1"/>
  <c r="A81" i="343"/>
  <c r="A250" i="343" s="1"/>
  <c r="L81" i="343"/>
  <c r="Q81" i="343"/>
  <c r="J81" i="343" s="1"/>
  <c r="U81" i="343"/>
  <c r="K81" i="343"/>
  <c r="A82" i="343"/>
  <c r="L82" i="343"/>
  <c r="Q82" i="343"/>
  <c r="J82" i="343" s="1"/>
  <c r="U82" i="343"/>
  <c r="K82" i="343" s="1"/>
  <c r="C83" i="343"/>
  <c r="D83" i="343"/>
  <c r="E83" i="343"/>
  <c r="F83" i="343"/>
  <c r="G83" i="343"/>
  <c r="H83" i="343"/>
  <c r="I83" i="343"/>
  <c r="N83" i="343"/>
  <c r="O83" i="343"/>
  <c r="P83" i="343"/>
  <c r="R83" i="343"/>
  <c r="S83" i="343"/>
  <c r="T83" i="343"/>
  <c r="V83" i="343"/>
  <c r="W83" i="343"/>
  <c r="X83" i="343"/>
  <c r="A84" i="343"/>
  <c r="A253" i="343" s="1"/>
  <c r="K84" i="343"/>
  <c r="L84" i="343"/>
  <c r="L83" i="343" s="1"/>
  <c r="L13" i="126" s="1"/>
  <c r="Q84" i="343"/>
  <c r="U84" i="343"/>
  <c r="A85" i="343"/>
  <c r="A254" i="343" s="1"/>
  <c r="L85" i="343"/>
  <c r="Q85" i="343"/>
  <c r="J85" i="343" s="1"/>
  <c r="U85" i="343"/>
  <c r="U83" i="343" s="1"/>
  <c r="A86" i="343"/>
  <c r="L86" i="343"/>
  <c r="Q86" i="343"/>
  <c r="J86" i="343"/>
  <c r="U86" i="343"/>
  <c r="K86" i="343" s="1"/>
  <c r="A87" i="343"/>
  <c r="A256" i="343" s="1"/>
  <c r="L87" i="343"/>
  <c r="Q87" i="343"/>
  <c r="J87" i="343" s="1"/>
  <c r="U87" i="343"/>
  <c r="K87" i="343"/>
  <c r="A88" i="343"/>
  <c r="A257" i="343"/>
  <c r="L88" i="343"/>
  <c r="Q88" i="343"/>
  <c r="J88" i="343"/>
  <c r="U88" i="343"/>
  <c r="K88" i="343" s="1"/>
  <c r="A89" i="343"/>
  <c r="J89" i="343"/>
  <c r="L89" i="343"/>
  <c r="Q89" i="343"/>
  <c r="U89" i="343"/>
  <c r="K89" i="343" s="1"/>
  <c r="A90" i="343"/>
  <c r="A259" i="343" s="1"/>
  <c r="L90" i="343"/>
  <c r="Q90" i="343"/>
  <c r="J90" i="343" s="1"/>
  <c r="U90" i="343"/>
  <c r="K90" i="343" s="1"/>
  <c r="A91" i="343"/>
  <c r="A260" i="343" s="1"/>
  <c r="L91" i="343"/>
  <c r="Q91" i="343"/>
  <c r="J91" i="343" s="1"/>
  <c r="U91" i="343"/>
  <c r="K91" i="343" s="1"/>
  <c r="A92" i="343"/>
  <c r="L92" i="343"/>
  <c r="Q92" i="343"/>
  <c r="J92" i="343"/>
  <c r="U92" i="343"/>
  <c r="K92" i="343" s="1"/>
  <c r="A93" i="343"/>
  <c r="L93" i="343"/>
  <c r="Q93" i="343"/>
  <c r="J93" i="343" s="1"/>
  <c r="U93" i="343"/>
  <c r="K93" i="343" s="1"/>
  <c r="C94" i="343"/>
  <c r="D94" i="343"/>
  <c r="E94" i="343"/>
  <c r="F94" i="343"/>
  <c r="G94" i="343"/>
  <c r="H94" i="343"/>
  <c r="I94" i="343"/>
  <c r="N94" i="343"/>
  <c r="O94" i="343"/>
  <c r="P94" i="343"/>
  <c r="R94" i="343"/>
  <c r="S94" i="343"/>
  <c r="T94" i="343"/>
  <c r="V94" i="343"/>
  <c r="W94" i="343"/>
  <c r="X94" i="343"/>
  <c r="A95" i="343"/>
  <c r="L95" i="343"/>
  <c r="Q95" i="343"/>
  <c r="J95" i="343" s="1"/>
  <c r="U95" i="343"/>
  <c r="K95" i="343"/>
  <c r="A96" i="343"/>
  <c r="A265" i="343" s="1"/>
  <c r="K96" i="343"/>
  <c r="L96" i="343"/>
  <c r="Q96" i="343"/>
  <c r="J96" i="343" s="1"/>
  <c r="U96" i="343"/>
  <c r="A97" i="343"/>
  <c r="A266" i="343" s="1"/>
  <c r="L97" i="343"/>
  <c r="Q97" i="343"/>
  <c r="J97" i="343" s="1"/>
  <c r="U97" i="343"/>
  <c r="K97" i="343"/>
  <c r="A98" i="343"/>
  <c r="J98" i="343"/>
  <c r="L98" i="343"/>
  <c r="Q98" i="343"/>
  <c r="U98" i="343"/>
  <c r="K98" i="343" s="1"/>
  <c r="A99" i="343"/>
  <c r="A268" i="343" s="1"/>
  <c r="J99" i="343"/>
  <c r="L99" i="343"/>
  <c r="L94" i="343" s="1"/>
  <c r="L14" i="126" s="1"/>
  <c r="Q99" i="343"/>
  <c r="U99" i="343"/>
  <c r="K99" i="343" s="1"/>
  <c r="A100" i="343"/>
  <c r="K100" i="343"/>
  <c r="L100" i="343"/>
  <c r="Q100" i="343"/>
  <c r="J100" i="343" s="1"/>
  <c r="U100" i="343"/>
  <c r="A101" i="343"/>
  <c r="A270" i="343" s="1"/>
  <c r="J101" i="343"/>
  <c r="L101" i="343"/>
  <c r="Q101" i="343"/>
  <c r="U101" i="343"/>
  <c r="K101" i="343"/>
  <c r="A102" i="343"/>
  <c r="J102" i="343"/>
  <c r="L102" i="343"/>
  <c r="Q102" i="343"/>
  <c r="U102" i="343"/>
  <c r="K102" i="343" s="1"/>
  <c r="A103" i="343"/>
  <c r="A272" i="343"/>
  <c r="L103" i="343"/>
  <c r="Q103" i="343"/>
  <c r="J103" i="343" s="1"/>
  <c r="U103" i="343"/>
  <c r="K103" i="343" s="1"/>
  <c r="A104" i="343"/>
  <c r="K104" i="343"/>
  <c r="L104" i="343"/>
  <c r="Q104" i="343"/>
  <c r="J104" i="343" s="1"/>
  <c r="U104" i="343"/>
  <c r="C105" i="343"/>
  <c r="D105" i="343"/>
  <c r="E105" i="343"/>
  <c r="F105" i="343"/>
  <c r="G105" i="343"/>
  <c r="H105" i="343"/>
  <c r="I105" i="343"/>
  <c r="N105" i="343"/>
  <c r="O105" i="343"/>
  <c r="P105" i="343"/>
  <c r="R105" i="343"/>
  <c r="S105" i="343"/>
  <c r="T105" i="343"/>
  <c r="V105" i="343"/>
  <c r="W105" i="343"/>
  <c r="X105" i="343"/>
  <c r="A106" i="343"/>
  <c r="A275" i="343"/>
  <c r="K106" i="343"/>
  <c r="L106" i="343"/>
  <c r="Q106" i="343"/>
  <c r="J106" i="343" s="1"/>
  <c r="U106" i="343"/>
  <c r="U105" i="343" s="1"/>
  <c r="A107" i="343"/>
  <c r="L107" i="343"/>
  <c r="Q107" i="343"/>
  <c r="J107" i="343" s="1"/>
  <c r="U107" i="343"/>
  <c r="K107" i="343" s="1"/>
  <c r="A108" i="343"/>
  <c r="K108" i="343"/>
  <c r="L108" i="343"/>
  <c r="Q108" i="343"/>
  <c r="J108" i="343" s="1"/>
  <c r="U108" i="343"/>
  <c r="A109" i="343"/>
  <c r="A278" i="343" s="1"/>
  <c r="L109" i="343"/>
  <c r="L105" i="343" s="1"/>
  <c r="L15" i="126" s="1"/>
  <c r="Q109" i="343"/>
  <c r="J109" i="343"/>
  <c r="U109" i="343"/>
  <c r="K109" i="343"/>
  <c r="A110" i="343"/>
  <c r="A279" i="343" s="1"/>
  <c r="K110" i="343"/>
  <c r="L110" i="343"/>
  <c r="Q110" i="343"/>
  <c r="J110" i="343" s="1"/>
  <c r="U110" i="343"/>
  <c r="A111" i="343"/>
  <c r="A280" i="343" s="1"/>
  <c r="L111" i="343"/>
  <c r="Q111" i="343"/>
  <c r="J111" i="343"/>
  <c r="U111" i="343"/>
  <c r="K111" i="343"/>
  <c r="A112" i="343"/>
  <c r="A281" i="343" s="1"/>
  <c r="K112" i="343"/>
  <c r="L112" i="343"/>
  <c r="Q112" i="343"/>
  <c r="J112" i="343" s="1"/>
  <c r="U112" i="343"/>
  <c r="A113" i="343"/>
  <c r="L113" i="343"/>
  <c r="Q113" i="343"/>
  <c r="J113" i="343" s="1"/>
  <c r="U113" i="343"/>
  <c r="K113" i="343" s="1"/>
  <c r="A114" i="343"/>
  <c r="A283" i="343" s="1"/>
  <c r="J114" i="343"/>
  <c r="L114" i="343"/>
  <c r="Q114" i="343"/>
  <c r="U114" i="343"/>
  <c r="K114" i="343" s="1"/>
  <c r="A115" i="343"/>
  <c r="A284" i="343"/>
  <c r="L115" i="343"/>
  <c r="Q115" i="343"/>
  <c r="J115" i="343" s="1"/>
  <c r="U115" i="343"/>
  <c r="K115" i="343" s="1"/>
  <c r="C116" i="343"/>
  <c r="D116" i="343"/>
  <c r="E116" i="343"/>
  <c r="F116" i="343"/>
  <c r="G116" i="343"/>
  <c r="H116" i="343"/>
  <c r="I116" i="343"/>
  <c r="N116" i="343"/>
  <c r="O116" i="343"/>
  <c r="P116" i="343"/>
  <c r="R116" i="343"/>
  <c r="S116" i="343"/>
  <c r="T116" i="343"/>
  <c r="V116" i="343"/>
  <c r="W116" i="343"/>
  <c r="X116" i="343"/>
  <c r="A117" i="343"/>
  <c r="L117" i="343"/>
  <c r="Q117" i="343"/>
  <c r="U117" i="343"/>
  <c r="A118" i="343"/>
  <c r="K118" i="343"/>
  <c r="L118" i="343"/>
  <c r="Q118" i="343"/>
  <c r="J118" i="343" s="1"/>
  <c r="U118" i="343"/>
  <c r="A119" i="343"/>
  <c r="A288" i="343" s="1"/>
  <c r="L119" i="343"/>
  <c r="Q119" i="343"/>
  <c r="J119" i="343"/>
  <c r="U119" i="343"/>
  <c r="K119" i="343"/>
  <c r="A120" i="343"/>
  <c r="A289" i="343"/>
  <c r="K120" i="343"/>
  <c r="L120" i="343"/>
  <c r="Q120" i="343"/>
  <c r="J120" i="343" s="1"/>
  <c r="U120" i="343"/>
  <c r="A121" i="343"/>
  <c r="A290" i="343" s="1"/>
  <c r="L121" i="343"/>
  <c r="Q121" i="343"/>
  <c r="J121" i="343"/>
  <c r="U121" i="343"/>
  <c r="K121" i="343"/>
  <c r="A122" i="343"/>
  <c r="J122" i="343"/>
  <c r="L122" i="343"/>
  <c r="Q122" i="343"/>
  <c r="U122" i="343"/>
  <c r="K122" i="343" s="1"/>
  <c r="A123" i="343"/>
  <c r="A292" i="343" s="1"/>
  <c r="L123" i="343"/>
  <c r="Q123" i="343"/>
  <c r="J123" i="343" s="1"/>
  <c r="U123" i="343"/>
  <c r="K123" i="343" s="1"/>
  <c r="A124" i="343"/>
  <c r="A293" i="343" s="1"/>
  <c r="J124" i="343"/>
  <c r="L124" i="343"/>
  <c r="Q124" i="343"/>
  <c r="U124" i="343"/>
  <c r="K124" i="343" s="1"/>
  <c r="A125" i="343"/>
  <c r="A294" i="343" s="1"/>
  <c r="L125" i="343"/>
  <c r="Q125" i="343"/>
  <c r="J125" i="343" s="1"/>
  <c r="U125" i="343"/>
  <c r="K125" i="343" s="1"/>
  <c r="A126" i="343"/>
  <c r="A295" i="343" s="1"/>
  <c r="J126" i="343"/>
  <c r="L126" i="343"/>
  <c r="Q126" i="343"/>
  <c r="U126" i="343"/>
  <c r="K126" i="343" s="1"/>
  <c r="C127" i="343"/>
  <c r="D127" i="343"/>
  <c r="E127" i="343"/>
  <c r="F127" i="343"/>
  <c r="G127" i="343"/>
  <c r="H127" i="343"/>
  <c r="I127" i="343"/>
  <c r="N127" i="343"/>
  <c r="O127" i="343"/>
  <c r="P127" i="343"/>
  <c r="R127" i="343"/>
  <c r="S127" i="343"/>
  <c r="T127" i="343"/>
  <c r="V127" i="343"/>
  <c r="W127" i="343"/>
  <c r="X127" i="343"/>
  <c r="A128" i="343"/>
  <c r="K128" i="343"/>
  <c r="L128" i="343"/>
  <c r="Q128" i="343"/>
  <c r="U128" i="343"/>
  <c r="A129" i="343"/>
  <c r="L129" i="343"/>
  <c r="L127" i="343" s="1"/>
  <c r="L17" i="126" s="1"/>
  <c r="Q129" i="343"/>
  <c r="J129" i="343" s="1"/>
  <c r="U129" i="343"/>
  <c r="K129" i="343" s="1"/>
  <c r="A130" i="343"/>
  <c r="A299" i="343" s="1"/>
  <c r="J130" i="343"/>
  <c r="L130" i="343"/>
  <c r="Q130" i="343"/>
  <c r="U130" i="343"/>
  <c r="K130" i="343" s="1"/>
  <c r="A131" i="343"/>
  <c r="A300" i="343" s="1"/>
  <c r="L131" i="343"/>
  <c r="Q131" i="343"/>
  <c r="J131" i="343" s="1"/>
  <c r="U131" i="343"/>
  <c r="K131" i="343" s="1"/>
  <c r="A132" i="343"/>
  <c r="A301" i="343" s="1"/>
  <c r="J132" i="343"/>
  <c r="L132" i="343"/>
  <c r="Q132" i="343"/>
  <c r="U132" i="343"/>
  <c r="K132" i="343" s="1"/>
  <c r="A133" i="343"/>
  <c r="A302" i="343"/>
  <c r="J133" i="343"/>
  <c r="L133" i="343"/>
  <c r="Q133" i="343"/>
  <c r="U133" i="343"/>
  <c r="K133" i="343" s="1"/>
  <c r="A134" i="343"/>
  <c r="A303" i="343" s="1"/>
  <c r="J134" i="343"/>
  <c r="L134" i="343"/>
  <c r="Q134" i="343"/>
  <c r="U134" i="343"/>
  <c r="K134" i="343" s="1"/>
  <c r="A135" i="343"/>
  <c r="A304" i="343"/>
  <c r="L135" i="343"/>
  <c r="Q135" i="343"/>
  <c r="J135" i="343" s="1"/>
  <c r="U135" i="343"/>
  <c r="K135" i="343" s="1"/>
  <c r="A136" i="343"/>
  <c r="K136" i="343"/>
  <c r="L136" i="343"/>
  <c r="Q136" i="343"/>
  <c r="J136" i="343" s="1"/>
  <c r="U136" i="343"/>
  <c r="A137" i="343"/>
  <c r="A306" i="343" s="1"/>
  <c r="L137" i="343"/>
  <c r="Q137" i="343"/>
  <c r="J137" i="343" s="1"/>
  <c r="U137" i="343"/>
  <c r="K137" i="343"/>
  <c r="C138" i="343"/>
  <c r="D138" i="343"/>
  <c r="E138" i="343"/>
  <c r="E171" i="343"/>
  <c r="F138" i="343"/>
  <c r="G138" i="343"/>
  <c r="H138" i="343"/>
  <c r="I138" i="343"/>
  <c r="N138" i="343"/>
  <c r="O138" i="343"/>
  <c r="P138" i="343"/>
  <c r="R138" i="343"/>
  <c r="S138" i="343"/>
  <c r="T138" i="343"/>
  <c r="V138" i="343"/>
  <c r="W138" i="343"/>
  <c r="X138" i="343"/>
  <c r="A139" i="343"/>
  <c r="A308" i="343"/>
  <c r="L139" i="343"/>
  <c r="Q139" i="343"/>
  <c r="J139" i="343" s="1"/>
  <c r="U139" i="343"/>
  <c r="K139" i="343"/>
  <c r="A140" i="343"/>
  <c r="A309" i="343" s="1"/>
  <c r="K140" i="343"/>
  <c r="L140" i="343"/>
  <c r="Q140" i="343"/>
  <c r="U140" i="343"/>
  <c r="A141" i="343"/>
  <c r="A310" i="343" s="1"/>
  <c r="L141" i="343"/>
  <c r="Q141" i="343"/>
  <c r="J141" i="343" s="1"/>
  <c r="U141" i="343"/>
  <c r="K141" i="343"/>
  <c r="A142" i="343"/>
  <c r="J142" i="343"/>
  <c r="L142" i="343"/>
  <c r="Q142" i="343"/>
  <c r="U142" i="343"/>
  <c r="K142" i="343" s="1"/>
  <c r="A143" i="343"/>
  <c r="A312" i="343" s="1"/>
  <c r="L143" i="343"/>
  <c r="Q143" i="343"/>
  <c r="J143" i="343" s="1"/>
  <c r="U143" i="343"/>
  <c r="K143" i="343" s="1"/>
  <c r="A144" i="343"/>
  <c r="K144" i="343"/>
  <c r="L144" i="343"/>
  <c r="Q144" i="343"/>
  <c r="J144" i="343" s="1"/>
  <c r="U144" i="343"/>
  <c r="A145" i="343"/>
  <c r="A314" i="343" s="1"/>
  <c r="L145" i="343"/>
  <c r="Q145" i="343"/>
  <c r="J145" i="343" s="1"/>
  <c r="U145" i="343"/>
  <c r="K145" i="343"/>
  <c r="A146" i="343"/>
  <c r="J146" i="343"/>
  <c r="L146" i="343"/>
  <c r="Q146" i="343"/>
  <c r="U146" i="343"/>
  <c r="K146" i="343" s="1"/>
  <c r="A147" i="343"/>
  <c r="A316" i="343" s="1"/>
  <c r="J147" i="343"/>
  <c r="L147" i="343"/>
  <c r="Q147" i="343"/>
  <c r="U147" i="343"/>
  <c r="K147" i="343" s="1"/>
  <c r="A148" i="343"/>
  <c r="K148" i="343"/>
  <c r="L148" i="343"/>
  <c r="Q148" i="343"/>
  <c r="J148" i="343" s="1"/>
  <c r="U148" i="343"/>
  <c r="C149" i="343"/>
  <c r="C19" i="126" s="1"/>
  <c r="D149" i="343"/>
  <c r="E149" i="343"/>
  <c r="F149" i="343"/>
  <c r="G149" i="343"/>
  <c r="G19" i="126"/>
  <c r="H149" i="343"/>
  <c r="I149" i="343"/>
  <c r="N149" i="343"/>
  <c r="O149" i="343"/>
  <c r="O171" i="343" s="1"/>
  <c r="P149" i="343"/>
  <c r="P171" i="343" s="1"/>
  <c r="R149" i="343"/>
  <c r="S149" i="343"/>
  <c r="T149" i="343"/>
  <c r="V149" i="343"/>
  <c r="W149" i="343"/>
  <c r="X149" i="343"/>
  <c r="A150" i="343"/>
  <c r="L150" i="343"/>
  <c r="Q150" i="343"/>
  <c r="U150" i="343"/>
  <c r="A151" i="343"/>
  <c r="A320" i="343" s="1"/>
  <c r="J151" i="343"/>
  <c r="L151" i="343"/>
  <c r="Q151" i="343"/>
  <c r="U151" i="343"/>
  <c r="K151" i="343"/>
  <c r="A152" i="343"/>
  <c r="A321" i="343"/>
  <c r="K152" i="343"/>
  <c r="L152" i="343"/>
  <c r="Q152" i="343"/>
  <c r="J152" i="343" s="1"/>
  <c r="U152" i="343"/>
  <c r="A153" i="343"/>
  <c r="J153" i="343"/>
  <c r="L153" i="343"/>
  <c r="Q153" i="343"/>
  <c r="U153" i="343"/>
  <c r="K153" i="343" s="1"/>
  <c r="A154" i="343"/>
  <c r="A323" i="343" s="1"/>
  <c r="J154" i="343"/>
  <c r="L154" i="343"/>
  <c r="Q154" i="343"/>
  <c r="U154" i="343"/>
  <c r="K154" i="343" s="1"/>
  <c r="A155" i="343"/>
  <c r="L155" i="343"/>
  <c r="Q155" i="343"/>
  <c r="J155" i="343" s="1"/>
  <c r="U155" i="343"/>
  <c r="K155" i="343"/>
  <c r="A156" i="343"/>
  <c r="A325" i="343"/>
  <c r="K156" i="343"/>
  <c r="L156" i="343"/>
  <c r="Q156" i="343"/>
  <c r="J156" i="343" s="1"/>
  <c r="U156" i="343"/>
  <c r="A157" i="343"/>
  <c r="L157" i="343"/>
  <c r="Q157" i="343"/>
  <c r="J157" i="343" s="1"/>
  <c r="U157" i="343"/>
  <c r="K157" i="343" s="1"/>
  <c r="A158" i="343"/>
  <c r="A327" i="343" s="1"/>
  <c r="J158" i="343"/>
  <c r="L158" i="343"/>
  <c r="L149" i="343" s="1"/>
  <c r="L19" i="126" s="1"/>
  <c r="Q158" i="343"/>
  <c r="U158" i="343"/>
  <c r="K158" i="343" s="1"/>
  <c r="A159" i="343"/>
  <c r="J159" i="343"/>
  <c r="L159" i="343"/>
  <c r="Q159" i="343"/>
  <c r="U159" i="343"/>
  <c r="K159" i="343"/>
  <c r="C160" i="343"/>
  <c r="D160" i="343"/>
  <c r="E160" i="343"/>
  <c r="E20" i="126"/>
  <c r="F160" i="343"/>
  <c r="G160" i="343"/>
  <c r="H160" i="343"/>
  <c r="I160" i="343"/>
  <c r="I20" i="126" s="1"/>
  <c r="N160" i="343"/>
  <c r="O160" i="343"/>
  <c r="P160" i="343"/>
  <c r="R160" i="343"/>
  <c r="S160" i="343"/>
  <c r="T160" i="343"/>
  <c r="V160" i="343"/>
  <c r="W160" i="343"/>
  <c r="X160" i="343"/>
  <c r="A161" i="343"/>
  <c r="L161" i="343"/>
  <c r="Q161" i="343"/>
  <c r="J161" i="343" s="1"/>
  <c r="U161" i="343"/>
  <c r="K161" i="343" s="1"/>
  <c r="A162" i="343"/>
  <c r="A331" i="343" s="1"/>
  <c r="J162" i="343"/>
  <c r="L162" i="343"/>
  <c r="L160" i="343" s="1"/>
  <c r="L20" i="126" s="1"/>
  <c r="Q162" i="343"/>
  <c r="U162" i="343"/>
  <c r="K162" i="343" s="1"/>
  <c r="A163" i="343"/>
  <c r="A332" i="343"/>
  <c r="L163" i="343"/>
  <c r="Q163" i="343"/>
  <c r="J163" i="343" s="1"/>
  <c r="U163" i="343"/>
  <c r="K163" i="343" s="1"/>
  <c r="A164" i="343"/>
  <c r="K164" i="343"/>
  <c r="L164" i="343"/>
  <c r="Q164" i="343"/>
  <c r="J164" i="343" s="1"/>
  <c r="U164" i="343"/>
  <c r="A165" i="343"/>
  <c r="A334" i="343" s="1"/>
  <c r="J165" i="343"/>
  <c r="L165" i="343"/>
  <c r="Q165" i="343"/>
  <c r="U165" i="343"/>
  <c r="K165" i="343" s="1"/>
  <c r="A166" i="343"/>
  <c r="K166" i="343"/>
  <c r="L166" i="343"/>
  <c r="Q166" i="343"/>
  <c r="J166" i="343" s="1"/>
  <c r="U166" i="343"/>
  <c r="A167" i="343"/>
  <c r="A336" i="343" s="1"/>
  <c r="L167" i="343"/>
  <c r="Q167" i="343"/>
  <c r="J167" i="343" s="1"/>
  <c r="U167" i="343"/>
  <c r="K167" i="343"/>
  <c r="A168" i="343"/>
  <c r="J168" i="343"/>
  <c r="L168" i="343"/>
  <c r="Q168" i="343"/>
  <c r="U168" i="343"/>
  <c r="K168" i="343" s="1"/>
  <c r="A169" i="343"/>
  <c r="A338" i="343" s="1"/>
  <c r="L169" i="343"/>
  <c r="Q169" i="343"/>
  <c r="J169" i="343" s="1"/>
  <c r="U169" i="343"/>
  <c r="K169" i="343" s="1"/>
  <c r="A170" i="343"/>
  <c r="K170" i="343"/>
  <c r="L170" i="343"/>
  <c r="Q170" i="343"/>
  <c r="J170" i="343" s="1"/>
  <c r="U170" i="343"/>
  <c r="D171" i="343"/>
  <c r="H171" i="343"/>
  <c r="V171" i="343"/>
  <c r="C175" i="343"/>
  <c r="C24" i="126" s="1"/>
  <c r="D175" i="343"/>
  <c r="E175" i="343"/>
  <c r="F175" i="343"/>
  <c r="G175" i="343"/>
  <c r="H175" i="343"/>
  <c r="I175" i="343"/>
  <c r="J175" i="343"/>
  <c r="J24" i="126" s="1"/>
  <c r="K175" i="343"/>
  <c r="L175" i="343"/>
  <c r="A177" i="343"/>
  <c r="A179" i="343"/>
  <c r="A181" i="343"/>
  <c r="C186" i="343"/>
  <c r="C25" i="126"/>
  <c r="D186" i="343"/>
  <c r="E186" i="343"/>
  <c r="F186" i="343"/>
  <c r="G186" i="343"/>
  <c r="G25" i="126" s="1"/>
  <c r="H186" i="343"/>
  <c r="J186" i="343"/>
  <c r="K186" i="343"/>
  <c r="K25" i="126"/>
  <c r="L186" i="343"/>
  <c r="A188" i="343"/>
  <c r="A192" i="343"/>
  <c r="A195" i="343"/>
  <c r="C197" i="343"/>
  <c r="D197" i="343"/>
  <c r="E197" i="343"/>
  <c r="F197" i="343"/>
  <c r="F26" i="126" s="1"/>
  <c r="G197" i="343"/>
  <c r="H197" i="343"/>
  <c r="I197" i="343"/>
  <c r="J197" i="343"/>
  <c r="J26" i="126"/>
  <c r="O25" i="140" s="1"/>
  <c r="N25" i="140" s="1"/>
  <c r="K197" i="343"/>
  <c r="L197" i="343"/>
  <c r="A200" i="343"/>
  <c r="A207" i="343"/>
  <c r="C208" i="343"/>
  <c r="D208" i="343"/>
  <c r="E208" i="343"/>
  <c r="E27" i="126" s="1"/>
  <c r="F208" i="343"/>
  <c r="G208" i="343"/>
  <c r="H208" i="343"/>
  <c r="I208" i="343"/>
  <c r="I27" i="126" s="1"/>
  <c r="J208" i="343"/>
  <c r="J27" i="126" s="1"/>
  <c r="K208" i="343"/>
  <c r="L208" i="343"/>
  <c r="A213" i="343"/>
  <c r="A217" i="343"/>
  <c r="A218" i="343"/>
  <c r="C219" i="343"/>
  <c r="D219" i="343"/>
  <c r="D28" i="126" s="1"/>
  <c r="E219" i="343"/>
  <c r="E28" i="126" s="1"/>
  <c r="F219" i="343"/>
  <c r="G219" i="343"/>
  <c r="G28" i="126" s="1"/>
  <c r="H219" i="343"/>
  <c r="H28" i="126" s="1"/>
  <c r="I219" i="343"/>
  <c r="J219" i="343"/>
  <c r="K219" i="343"/>
  <c r="K28" i="126" s="1"/>
  <c r="P27" i="140" s="1"/>
  <c r="L219" i="343"/>
  <c r="L28" i="126" s="1"/>
  <c r="A220" i="343"/>
  <c r="A226" i="343"/>
  <c r="C230" i="343"/>
  <c r="D230" i="343"/>
  <c r="D29" i="126" s="1"/>
  <c r="E230" i="343"/>
  <c r="E29" i="126" s="1"/>
  <c r="F230" i="343"/>
  <c r="G230" i="343"/>
  <c r="G29" i="126" s="1"/>
  <c r="H230" i="343"/>
  <c r="H29" i="126" s="1"/>
  <c r="I230" i="343"/>
  <c r="J230" i="343"/>
  <c r="K230" i="343"/>
  <c r="K29" i="126" s="1"/>
  <c r="P28" i="140" s="1"/>
  <c r="L230" i="343"/>
  <c r="L29" i="126" s="1"/>
  <c r="A232" i="343"/>
  <c r="A239" i="343"/>
  <c r="C241" i="343"/>
  <c r="D241" i="343"/>
  <c r="E241" i="343"/>
  <c r="F241" i="343"/>
  <c r="F30" i="126" s="1"/>
  <c r="G241" i="343"/>
  <c r="H241" i="343"/>
  <c r="I241" i="343"/>
  <c r="J241" i="343"/>
  <c r="J30" i="126" s="1"/>
  <c r="O29" i="140" s="1"/>
  <c r="N29" i="140" s="1"/>
  <c r="K241" i="343"/>
  <c r="L241" i="343"/>
  <c r="A242" i="343"/>
  <c r="A247" i="343"/>
  <c r="A249" i="343"/>
  <c r="A251" i="343"/>
  <c r="C252" i="343"/>
  <c r="D252" i="343"/>
  <c r="E252" i="343"/>
  <c r="E31" i="126" s="1"/>
  <c r="F252" i="343"/>
  <c r="G252" i="343"/>
  <c r="H252" i="343"/>
  <c r="I252" i="343"/>
  <c r="I31" i="126" s="1"/>
  <c r="J252" i="343"/>
  <c r="K252" i="343"/>
  <c r="K31" i="126" s="1"/>
  <c r="P30" i="140" s="1"/>
  <c r="L252" i="343"/>
  <c r="A255" i="343"/>
  <c r="A258" i="343"/>
  <c r="A261" i="343"/>
  <c r="A262" i="343"/>
  <c r="C263" i="343"/>
  <c r="D263" i="343"/>
  <c r="D32" i="126" s="1"/>
  <c r="E263" i="343"/>
  <c r="F263" i="343"/>
  <c r="G263" i="343"/>
  <c r="H263" i="343"/>
  <c r="H32" i="126" s="1"/>
  <c r="I263" i="343"/>
  <c r="J263" i="343"/>
  <c r="K263" i="343"/>
  <c r="L263" i="343"/>
  <c r="L32" i="126" s="1"/>
  <c r="Q31" i="140" s="1"/>
  <c r="A264" i="343"/>
  <c r="A267" i="343"/>
  <c r="A269" i="343"/>
  <c r="A271" i="343"/>
  <c r="A273" i="343"/>
  <c r="C274" i="343"/>
  <c r="C33" i="126" s="1"/>
  <c r="D274" i="343"/>
  <c r="E274" i="343"/>
  <c r="F274" i="343"/>
  <c r="G274" i="343"/>
  <c r="G33" i="126"/>
  <c r="H274" i="343"/>
  <c r="I274" i="343"/>
  <c r="J274" i="343"/>
  <c r="K274" i="343"/>
  <c r="K33" i="126" s="1"/>
  <c r="P32" i="140" s="1"/>
  <c r="L274" i="343"/>
  <c r="A276" i="343"/>
  <c r="A277" i="343"/>
  <c r="A282" i="343"/>
  <c r="C285" i="343"/>
  <c r="D285" i="343"/>
  <c r="E285" i="343"/>
  <c r="F285" i="343"/>
  <c r="F34" i="126" s="1"/>
  <c r="G285" i="343"/>
  <c r="H285" i="343"/>
  <c r="I285" i="343"/>
  <c r="J285" i="343"/>
  <c r="J34" i="126"/>
  <c r="O33" i="140" s="1"/>
  <c r="N33" i="140" s="1"/>
  <c r="K285" i="343"/>
  <c r="L285" i="343"/>
  <c r="A286" i="343"/>
  <c r="A287" i="343"/>
  <c r="A291" i="343"/>
  <c r="C296" i="343"/>
  <c r="D296" i="343"/>
  <c r="E296" i="343"/>
  <c r="E35" i="126" s="1"/>
  <c r="F296" i="343"/>
  <c r="G296" i="343"/>
  <c r="H296" i="343"/>
  <c r="I296" i="343"/>
  <c r="I35" i="126"/>
  <c r="J296" i="343"/>
  <c r="K296" i="343"/>
  <c r="L296" i="343"/>
  <c r="A297" i="343"/>
  <c r="A298" i="343"/>
  <c r="A305" i="343"/>
  <c r="C307" i="343"/>
  <c r="D307" i="343"/>
  <c r="D36" i="126" s="1"/>
  <c r="E307" i="343"/>
  <c r="F307" i="343"/>
  <c r="G307" i="343"/>
  <c r="H307" i="343"/>
  <c r="H36" i="126" s="1"/>
  <c r="I307" i="343"/>
  <c r="J307" i="343"/>
  <c r="K307" i="343"/>
  <c r="L307" i="343"/>
  <c r="L36" i="126" s="1"/>
  <c r="Q35" i="140" s="1"/>
  <c r="A311" i="343"/>
  <c r="A313" i="343"/>
  <c r="A315" i="343"/>
  <c r="A317" i="343"/>
  <c r="C318" i="343"/>
  <c r="C37" i="126"/>
  <c r="D318" i="343"/>
  <c r="E318" i="343"/>
  <c r="F318" i="343"/>
  <c r="G318" i="343"/>
  <c r="G37" i="126" s="1"/>
  <c r="H318" i="343"/>
  <c r="I318" i="343"/>
  <c r="J318" i="343"/>
  <c r="K318" i="343"/>
  <c r="K37" i="126"/>
  <c r="P36" i="140" s="1"/>
  <c r="L318" i="343"/>
  <c r="A319" i="343"/>
  <c r="A322" i="343"/>
  <c r="A324" i="343"/>
  <c r="A326" i="343"/>
  <c r="A328" i="343"/>
  <c r="C329" i="343"/>
  <c r="D329" i="343"/>
  <c r="E329" i="343"/>
  <c r="F329" i="343"/>
  <c r="F38" i="126"/>
  <c r="G329" i="343"/>
  <c r="H329" i="343"/>
  <c r="I329" i="343"/>
  <c r="J329" i="343"/>
  <c r="J38" i="126" s="1"/>
  <c r="O37" i="140" s="1"/>
  <c r="N37" i="140" s="1"/>
  <c r="K329" i="343"/>
  <c r="L329" i="343"/>
  <c r="A330" i="343"/>
  <c r="A333" i="343"/>
  <c r="A335" i="343"/>
  <c r="A337" i="343"/>
  <c r="A339" i="343"/>
  <c r="A2" i="126"/>
  <c r="B2" i="126"/>
  <c r="C3" i="126"/>
  <c r="D3" i="126"/>
  <c r="E3" i="126"/>
  <c r="F3" i="126"/>
  <c r="G3" i="126"/>
  <c r="H3" i="126"/>
  <c r="I3" i="126"/>
  <c r="C6" i="126"/>
  <c r="D6" i="126"/>
  <c r="E6" i="126"/>
  <c r="F6" i="126"/>
  <c r="F21" i="126" s="1"/>
  <c r="G6" i="126"/>
  <c r="H6" i="126"/>
  <c r="I6" i="126"/>
  <c r="C7" i="126"/>
  <c r="D7" i="126"/>
  <c r="E7" i="126"/>
  <c r="F7" i="126"/>
  <c r="G7" i="126"/>
  <c r="H7" i="126"/>
  <c r="I7" i="126"/>
  <c r="C8" i="126"/>
  <c r="D8" i="126"/>
  <c r="E8" i="126"/>
  <c r="F8" i="126"/>
  <c r="G8" i="126"/>
  <c r="H8" i="126"/>
  <c r="I8" i="126"/>
  <c r="C9" i="126"/>
  <c r="D9" i="126"/>
  <c r="E9" i="126"/>
  <c r="F9" i="126"/>
  <c r="G9" i="126"/>
  <c r="G21" i="126" s="1"/>
  <c r="H9" i="126"/>
  <c r="I9" i="126"/>
  <c r="C10" i="126"/>
  <c r="C21" i="126" s="1"/>
  <c r="D10" i="126"/>
  <c r="E10" i="126"/>
  <c r="F10" i="126"/>
  <c r="G10" i="126"/>
  <c r="H10" i="126"/>
  <c r="I10" i="126"/>
  <c r="C11" i="126"/>
  <c r="D11" i="126"/>
  <c r="E11" i="126"/>
  <c r="F11" i="126"/>
  <c r="G11" i="126"/>
  <c r="H11" i="126"/>
  <c r="I11" i="126"/>
  <c r="C12" i="126"/>
  <c r="D12" i="126"/>
  <c r="E12" i="126"/>
  <c r="F12" i="126"/>
  <c r="G12" i="126"/>
  <c r="H12" i="126"/>
  <c r="I12" i="126"/>
  <c r="C13" i="126"/>
  <c r="D13" i="126"/>
  <c r="E13" i="126"/>
  <c r="F13" i="126"/>
  <c r="G13" i="126"/>
  <c r="H13" i="126"/>
  <c r="I13" i="126"/>
  <c r="C14" i="126"/>
  <c r="D14" i="126"/>
  <c r="E14" i="126"/>
  <c r="F14" i="126"/>
  <c r="G14" i="126"/>
  <c r="H14" i="126"/>
  <c r="I14" i="126"/>
  <c r="C15" i="126"/>
  <c r="D15" i="126"/>
  <c r="E15" i="126"/>
  <c r="F15" i="126"/>
  <c r="G15" i="126"/>
  <c r="H15" i="126"/>
  <c r="I15" i="126"/>
  <c r="C16" i="126"/>
  <c r="D16" i="126"/>
  <c r="E16" i="126"/>
  <c r="F16" i="126"/>
  <c r="G16" i="126"/>
  <c r="H16" i="126"/>
  <c r="I16" i="126"/>
  <c r="C17" i="126"/>
  <c r="D17" i="126"/>
  <c r="E17" i="126"/>
  <c r="F17" i="126"/>
  <c r="G17" i="126"/>
  <c r="H17" i="126"/>
  <c r="I17" i="126"/>
  <c r="C18" i="126"/>
  <c r="D18" i="126"/>
  <c r="F18" i="126"/>
  <c r="G18" i="126"/>
  <c r="H18" i="126"/>
  <c r="D19" i="126"/>
  <c r="E19" i="126"/>
  <c r="F19" i="126"/>
  <c r="H19" i="126"/>
  <c r="I19" i="126"/>
  <c r="C20" i="126"/>
  <c r="D20" i="126"/>
  <c r="F20" i="126"/>
  <c r="G20" i="126"/>
  <c r="H20" i="126"/>
  <c r="H21" i="126" s="1"/>
  <c r="D21" i="126"/>
  <c r="E24" i="126"/>
  <c r="F24" i="126"/>
  <c r="G24" i="126"/>
  <c r="I24" i="126"/>
  <c r="K24" i="126"/>
  <c r="P23" i="140" s="1"/>
  <c r="D25" i="126"/>
  <c r="E25" i="126"/>
  <c r="F25" i="126"/>
  <c r="H25" i="126"/>
  <c r="I25" i="126"/>
  <c r="J25" i="126"/>
  <c r="O24" i="140" s="1"/>
  <c r="N24" i="140" s="1"/>
  <c r="L25" i="126"/>
  <c r="Q24" i="140" s="1"/>
  <c r="C26" i="126"/>
  <c r="D26" i="126"/>
  <c r="E26" i="126"/>
  <c r="G26" i="126"/>
  <c r="H26" i="126"/>
  <c r="I26" i="126"/>
  <c r="K26" i="126"/>
  <c r="P25" i="140" s="1"/>
  <c r="L26" i="126"/>
  <c r="Q25" i="140" s="1"/>
  <c r="C27" i="126"/>
  <c r="D27" i="126"/>
  <c r="F27" i="126"/>
  <c r="G27" i="126"/>
  <c r="H27" i="126"/>
  <c r="K27" i="126"/>
  <c r="P26" i="140" s="1"/>
  <c r="L27" i="126"/>
  <c r="Q26" i="140" s="1"/>
  <c r="C28" i="126"/>
  <c r="F28" i="126"/>
  <c r="I28" i="126"/>
  <c r="J28" i="126"/>
  <c r="O27" i="140" s="1"/>
  <c r="N27" i="140" s="1"/>
  <c r="I29" i="126"/>
  <c r="J29" i="126"/>
  <c r="O28" i="140" s="1"/>
  <c r="N28" i="140" s="1"/>
  <c r="C30" i="126"/>
  <c r="D30" i="126"/>
  <c r="E30" i="126"/>
  <c r="G30" i="126"/>
  <c r="H30" i="126"/>
  <c r="I30" i="126"/>
  <c r="K30" i="126"/>
  <c r="P29" i="140"/>
  <c r="L30" i="126"/>
  <c r="Q29" i="140" s="1"/>
  <c r="C31" i="126"/>
  <c r="D31" i="126"/>
  <c r="F31" i="126"/>
  <c r="G31" i="126"/>
  <c r="H31" i="126"/>
  <c r="J31" i="126"/>
  <c r="O30" i="140" s="1"/>
  <c r="N30" i="140" s="1"/>
  <c r="L31" i="126"/>
  <c r="Q30" i="140" s="1"/>
  <c r="C32" i="126"/>
  <c r="E32" i="126"/>
  <c r="F32" i="126"/>
  <c r="G32" i="126"/>
  <c r="I32" i="126"/>
  <c r="J32" i="126"/>
  <c r="O31" i="140"/>
  <c r="N31" i="140" s="1"/>
  <c r="K32" i="126"/>
  <c r="P31" i="140"/>
  <c r="D33" i="126"/>
  <c r="E33" i="126"/>
  <c r="F33" i="126"/>
  <c r="H33" i="126"/>
  <c r="I33" i="126"/>
  <c r="J33" i="126"/>
  <c r="O32" i="140" s="1"/>
  <c r="N32" i="140" s="1"/>
  <c r="L33" i="126"/>
  <c r="Q32" i="140" s="1"/>
  <c r="C34" i="126"/>
  <c r="D34" i="126"/>
  <c r="E34" i="126"/>
  <c r="G34" i="126"/>
  <c r="H34" i="126"/>
  <c r="I34" i="126"/>
  <c r="K34" i="126"/>
  <c r="P33" i="140" s="1"/>
  <c r="L34" i="126"/>
  <c r="Q33" i="140"/>
  <c r="C35" i="126"/>
  <c r="D35" i="126"/>
  <c r="F35" i="126"/>
  <c r="G35" i="126"/>
  <c r="H35" i="126"/>
  <c r="J35" i="126"/>
  <c r="O34" i="140" s="1"/>
  <c r="N34" i="140" s="1"/>
  <c r="K35" i="126"/>
  <c r="P34" i="140" s="1"/>
  <c r="L35" i="126"/>
  <c r="Q34" i="140"/>
  <c r="C36" i="126"/>
  <c r="E36" i="126"/>
  <c r="F36" i="126"/>
  <c r="G36" i="126"/>
  <c r="I36" i="126"/>
  <c r="J36" i="126"/>
  <c r="O35" i="140" s="1"/>
  <c r="N35" i="140" s="1"/>
  <c r="K36" i="126"/>
  <c r="P35" i="140" s="1"/>
  <c r="D37" i="126"/>
  <c r="E37" i="126"/>
  <c r="F37" i="126"/>
  <c r="H37" i="126"/>
  <c r="I37" i="126"/>
  <c r="J37" i="126"/>
  <c r="O36" i="140"/>
  <c r="N36" i="140" s="1"/>
  <c r="L37" i="126"/>
  <c r="Q36" i="140"/>
  <c r="C38" i="126"/>
  <c r="D38" i="126"/>
  <c r="E38" i="126"/>
  <c r="G38" i="126"/>
  <c r="H38" i="126"/>
  <c r="I38" i="126"/>
  <c r="K38" i="126"/>
  <c r="P37" i="140"/>
  <c r="L38" i="126"/>
  <c r="Q37" i="140" s="1"/>
  <c r="C43" i="126"/>
  <c r="D43" i="126"/>
  <c r="E43" i="126"/>
  <c r="F43" i="126"/>
  <c r="G43" i="126"/>
  <c r="H43" i="126"/>
  <c r="I43" i="126"/>
  <c r="J43" i="126"/>
  <c r="O5" i="300" s="1"/>
  <c r="K43" i="126"/>
  <c r="P5" i="300" s="1"/>
  <c r="L43" i="126"/>
  <c r="Q5" i="300"/>
  <c r="C47" i="126"/>
  <c r="D47" i="126"/>
  <c r="E47" i="126"/>
  <c r="F47" i="126"/>
  <c r="G47" i="126"/>
  <c r="H47" i="126"/>
  <c r="I47" i="126"/>
  <c r="J47" i="126"/>
  <c r="O9" i="300" s="1"/>
  <c r="K47" i="126"/>
  <c r="P9" i="300"/>
  <c r="L47" i="126"/>
  <c r="Q9" i="300" s="1"/>
  <c r="C53" i="126"/>
  <c r="D53" i="126"/>
  <c r="E53" i="126"/>
  <c r="F53" i="126"/>
  <c r="G53" i="126"/>
  <c r="H53" i="126"/>
  <c r="I53" i="126"/>
  <c r="J53" i="126"/>
  <c r="K53" i="126"/>
  <c r="P15" i="300" s="1"/>
  <c r="L53" i="126"/>
  <c r="Q15" i="300" s="1"/>
  <c r="C57" i="126"/>
  <c r="D57" i="126"/>
  <c r="E57" i="126"/>
  <c r="F57" i="126"/>
  <c r="G57" i="126"/>
  <c r="H57" i="126"/>
  <c r="I57" i="126"/>
  <c r="J57" i="126"/>
  <c r="O19" i="300" s="1"/>
  <c r="K57" i="126"/>
  <c r="P19" i="300" s="1"/>
  <c r="L57" i="126"/>
  <c r="Q19" i="300" s="1"/>
  <c r="C70" i="126"/>
  <c r="C74" i="126" s="1"/>
  <c r="D70" i="126"/>
  <c r="D60" i="316" s="1"/>
  <c r="E70" i="126"/>
  <c r="E74" i="126" s="1"/>
  <c r="F70" i="126"/>
  <c r="F74" i="126" s="1"/>
  <c r="G70" i="126"/>
  <c r="G74" i="126" s="1"/>
  <c r="H70" i="126"/>
  <c r="H60" i="316" s="1"/>
  <c r="I70" i="126"/>
  <c r="H28" i="86" s="1"/>
  <c r="J70" i="126"/>
  <c r="I28" i="86" s="1"/>
  <c r="K70" i="126"/>
  <c r="J28" i="86" s="1"/>
  <c r="L70" i="126"/>
  <c r="A75" i="126"/>
  <c r="A2" i="127"/>
  <c r="B2" i="127"/>
  <c r="M2" i="127"/>
  <c r="C3" i="127"/>
  <c r="D3" i="127"/>
  <c r="E3" i="127"/>
  <c r="F3" i="127"/>
  <c r="G3" i="127"/>
  <c r="H3" i="127"/>
  <c r="I3" i="127"/>
  <c r="C5" i="127"/>
  <c r="B5" i="86"/>
  <c r="C9" i="127"/>
  <c r="F20" i="127"/>
  <c r="E9" i="86" s="1"/>
  <c r="J20" i="127"/>
  <c r="O20" i="137" s="1"/>
  <c r="N20" i="137" s="1"/>
  <c r="M22" i="127"/>
  <c r="M38" i="127" s="1"/>
  <c r="N22" i="127"/>
  <c r="O22" i="127"/>
  <c r="P22" i="127"/>
  <c r="Q22" i="127"/>
  <c r="R22" i="127"/>
  <c r="S22" i="127"/>
  <c r="T22" i="127"/>
  <c r="U22" i="127"/>
  <c r="U38" i="127" s="1"/>
  <c r="V22" i="127"/>
  <c r="W22" i="127"/>
  <c r="X22" i="127"/>
  <c r="C28" i="127"/>
  <c r="C68" i="248" s="1"/>
  <c r="D28" i="127"/>
  <c r="C13" i="86"/>
  <c r="K28" i="127"/>
  <c r="J13" i="86" s="1"/>
  <c r="L28" i="127"/>
  <c r="Q28" i="137"/>
  <c r="H30" i="127"/>
  <c r="G15" i="86" s="1"/>
  <c r="C34" i="127"/>
  <c r="C36" i="127" s="1"/>
  <c r="L34" i="127"/>
  <c r="Q34" i="137" s="1"/>
  <c r="M36" i="127"/>
  <c r="N36" i="127"/>
  <c r="N38" i="127" s="1"/>
  <c r="O36" i="127"/>
  <c r="O38" i="127" s="1"/>
  <c r="P36" i="127"/>
  <c r="P38" i="127" s="1"/>
  <c r="Q36" i="127"/>
  <c r="R36" i="127"/>
  <c r="R38" i="127" s="1"/>
  <c r="S36" i="127"/>
  <c r="S38" i="127" s="1"/>
  <c r="T36" i="127"/>
  <c r="U36" i="127"/>
  <c r="V36" i="127"/>
  <c r="V38" i="127" s="1"/>
  <c r="W36" i="127"/>
  <c r="W38" i="127" s="1"/>
  <c r="X36" i="127"/>
  <c r="X38" i="127" s="1"/>
  <c r="Q38" i="127"/>
  <c r="T38" i="127"/>
  <c r="C40" i="127"/>
  <c r="B21" i="86"/>
  <c r="D40" i="127"/>
  <c r="C21" i="86"/>
  <c r="G40" i="127"/>
  <c r="F21" i="86" s="1"/>
  <c r="K40" i="127"/>
  <c r="P40" i="137"/>
  <c r="A48" i="127"/>
  <c r="A24" i="86"/>
  <c r="M48" i="127"/>
  <c r="N48" i="127"/>
  <c r="O48" i="127"/>
  <c r="P48" i="127"/>
  <c r="Q48" i="127"/>
  <c r="R48" i="127"/>
  <c r="S48" i="127"/>
  <c r="T48" i="127"/>
  <c r="U48" i="127"/>
  <c r="V48" i="127"/>
  <c r="W48" i="127"/>
  <c r="X48" i="127"/>
  <c r="A49" i="127"/>
  <c r="C5" i="233"/>
  <c r="D5" i="233"/>
  <c r="G5" i="233"/>
  <c r="H5" i="233"/>
  <c r="C6" i="233"/>
  <c r="D6" i="233"/>
  <c r="E6" i="233"/>
  <c r="G6" i="233"/>
  <c r="H6" i="233"/>
  <c r="J6" i="233"/>
  <c r="P6" i="299" s="1"/>
  <c r="C7" i="233"/>
  <c r="D7" i="233"/>
  <c r="F7" i="233"/>
  <c r="G7" i="233"/>
  <c r="H7" i="233"/>
  <c r="I7" i="233"/>
  <c r="O7" i="299" s="1"/>
  <c r="N7" i="299" s="1"/>
  <c r="J7" i="233"/>
  <c r="P7" i="299" s="1"/>
  <c r="K7" i="233"/>
  <c r="Q7" i="299" s="1"/>
  <c r="F8" i="233"/>
  <c r="J8" i="233"/>
  <c r="P8" i="299" s="1"/>
  <c r="K8" i="233"/>
  <c r="Q8" i="299" s="1"/>
  <c r="C9" i="233"/>
  <c r="F9" i="233"/>
  <c r="G9" i="233"/>
  <c r="J9" i="233"/>
  <c r="P9" i="299" s="1"/>
  <c r="K9" i="233"/>
  <c r="Q9" i="299" s="1"/>
  <c r="D10" i="233"/>
  <c r="E10" i="233"/>
  <c r="F10" i="233"/>
  <c r="G10" i="233"/>
  <c r="H10" i="233"/>
  <c r="I10" i="233"/>
  <c r="O10" i="299" s="1"/>
  <c r="N10" i="299" s="1"/>
  <c r="J10" i="233"/>
  <c r="P10" i="299" s="1"/>
  <c r="K10" i="233"/>
  <c r="C11" i="233"/>
  <c r="D11" i="233"/>
  <c r="F11" i="233"/>
  <c r="G11" i="233"/>
  <c r="I11" i="233"/>
  <c r="O11" i="299" s="1"/>
  <c r="N11" i="299" s="1"/>
  <c r="J11" i="233"/>
  <c r="P11" i="299" s="1"/>
  <c r="C12" i="233"/>
  <c r="D12" i="233"/>
  <c r="F12" i="233"/>
  <c r="I12" i="233"/>
  <c r="J12" i="233"/>
  <c r="K12" i="233"/>
  <c r="Q12" i="299" s="1"/>
  <c r="E13" i="233"/>
  <c r="F13" i="233"/>
  <c r="H13" i="233"/>
  <c r="I13" i="233"/>
  <c r="O13" i="299" s="1"/>
  <c r="N13" i="299" s="1"/>
  <c r="J13" i="233"/>
  <c r="P13" i="299" s="1"/>
  <c r="K13" i="233"/>
  <c r="Q13" i="299" s="1"/>
  <c r="D14" i="233"/>
  <c r="E14" i="233"/>
  <c r="F14" i="233"/>
  <c r="H14" i="233"/>
  <c r="I14" i="233"/>
  <c r="O14" i="299" s="1"/>
  <c r="N14" i="299" s="1"/>
  <c r="J14" i="233"/>
  <c r="P14" i="299" s="1"/>
  <c r="K14" i="233"/>
  <c r="Q14" i="299" s="1"/>
  <c r="C15" i="233"/>
  <c r="D15" i="233"/>
  <c r="F15" i="233"/>
  <c r="G15" i="233"/>
  <c r="H15" i="233"/>
  <c r="J15" i="233"/>
  <c r="P15" i="299" s="1"/>
  <c r="K15" i="233"/>
  <c r="Q15" i="299" s="1"/>
  <c r="C16" i="233"/>
  <c r="D16" i="233"/>
  <c r="E16" i="233"/>
  <c r="F16" i="233"/>
  <c r="G16" i="233"/>
  <c r="H16" i="233"/>
  <c r="J16" i="233"/>
  <c r="P16" i="299" s="1"/>
  <c r="K16" i="233"/>
  <c r="Q16" i="299" s="1"/>
  <c r="C17" i="233"/>
  <c r="E17" i="233"/>
  <c r="F17" i="233"/>
  <c r="I17" i="233"/>
  <c r="O17" i="299" s="1"/>
  <c r="N17" i="299" s="1"/>
  <c r="J17" i="233"/>
  <c r="P17" i="299" s="1"/>
  <c r="C18" i="233"/>
  <c r="D18" i="233"/>
  <c r="E18" i="233"/>
  <c r="F18" i="233"/>
  <c r="G18" i="233"/>
  <c r="H18" i="233"/>
  <c r="I18" i="233"/>
  <c r="O18" i="299" s="1"/>
  <c r="N18" i="299" s="1"/>
  <c r="K18" i="233"/>
  <c r="Q18" i="299" s="1"/>
  <c r="C19" i="233"/>
  <c r="F19" i="233"/>
  <c r="G19" i="233"/>
  <c r="I19" i="233"/>
  <c r="O19" i="299" s="1"/>
  <c r="N19" i="299" s="1"/>
  <c r="J19" i="233"/>
  <c r="P19" i="299" s="1"/>
  <c r="E23" i="233"/>
  <c r="F23" i="233"/>
  <c r="I23" i="233"/>
  <c r="J23" i="233"/>
  <c r="P23" i="299" s="1"/>
  <c r="D24" i="233"/>
  <c r="H24" i="233"/>
  <c r="E25" i="233"/>
  <c r="F25" i="233"/>
  <c r="G25" i="233"/>
  <c r="I25" i="233"/>
  <c r="O25" i="299" s="1"/>
  <c r="N25" i="299" s="1"/>
  <c r="J25" i="233"/>
  <c r="P25" i="299" s="1"/>
  <c r="C26" i="233"/>
  <c r="D26" i="233"/>
  <c r="F26" i="233"/>
  <c r="H26" i="233"/>
  <c r="J26" i="233"/>
  <c r="P26" i="299" s="1"/>
  <c r="C27" i="233"/>
  <c r="D27" i="233"/>
  <c r="E27" i="233"/>
  <c r="F27" i="233"/>
  <c r="G27" i="233"/>
  <c r="H27" i="233"/>
  <c r="I27" i="233"/>
  <c r="O27" i="299" s="1"/>
  <c r="N27" i="299" s="1"/>
  <c r="K27" i="233"/>
  <c r="Q27" i="299" s="1"/>
  <c r="D28" i="233"/>
  <c r="F28" i="233"/>
  <c r="G28" i="233"/>
  <c r="H28" i="233"/>
  <c r="J28" i="233"/>
  <c r="P28" i="299" s="1"/>
  <c r="D29" i="233"/>
  <c r="E29" i="233"/>
  <c r="G29" i="233"/>
  <c r="I29" i="233"/>
  <c r="O29" i="299" s="1"/>
  <c r="N29" i="299" s="1"/>
  <c r="J29" i="233"/>
  <c r="P29" i="299" s="1"/>
  <c r="K29" i="233"/>
  <c r="Q29" i="299" s="1"/>
  <c r="D30" i="233"/>
  <c r="E30" i="233"/>
  <c r="F30" i="233"/>
  <c r="H30" i="233"/>
  <c r="I30" i="233"/>
  <c r="O30" i="299" s="1"/>
  <c r="N30" i="299" s="1"/>
  <c r="J30" i="233"/>
  <c r="P30" i="299" s="1"/>
  <c r="C31" i="233"/>
  <c r="E31" i="233"/>
  <c r="F31" i="233"/>
  <c r="I31" i="233"/>
  <c r="O31" i="299" s="1"/>
  <c r="N31" i="299" s="1"/>
  <c r="J31" i="233"/>
  <c r="P31" i="299" s="1"/>
  <c r="K31" i="233"/>
  <c r="Q31" i="299" s="1"/>
  <c r="D32" i="233"/>
  <c r="E32" i="233"/>
  <c r="H32" i="233"/>
  <c r="I32" i="233"/>
  <c r="O32" i="299" s="1"/>
  <c r="N32" i="299" s="1"/>
  <c r="J32" i="233"/>
  <c r="P32" i="299" s="1"/>
  <c r="C33" i="233"/>
  <c r="E33" i="233"/>
  <c r="F33" i="233"/>
  <c r="I33" i="233"/>
  <c r="O33" i="299" s="1"/>
  <c r="N33" i="299" s="1"/>
  <c r="J33" i="233"/>
  <c r="P33" i="299" s="1"/>
  <c r="C34" i="233"/>
  <c r="D34" i="233"/>
  <c r="E34" i="233"/>
  <c r="G34" i="233"/>
  <c r="I34" i="233"/>
  <c r="O34" i="299" s="1"/>
  <c r="N34" i="299" s="1"/>
  <c r="K34" i="233"/>
  <c r="Q34" i="299" s="1"/>
  <c r="D35" i="233"/>
  <c r="E35" i="233"/>
  <c r="I35" i="233"/>
  <c r="O35" i="299" s="1"/>
  <c r="N35" i="299" s="1"/>
  <c r="J35" i="233"/>
  <c r="P35" i="299" s="1"/>
  <c r="C36" i="233"/>
  <c r="E36" i="233"/>
  <c r="F36" i="233"/>
  <c r="G36" i="233"/>
  <c r="I36" i="233"/>
  <c r="O36" i="299" s="1"/>
  <c r="N36" i="299" s="1"/>
  <c r="K36" i="233"/>
  <c r="Q36" i="299" s="1"/>
  <c r="E37" i="233"/>
  <c r="F37" i="233"/>
  <c r="I37" i="233"/>
  <c r="O37" i="299" s="1"/>
  <c r="N37" i="299" s="1"/>
  <c r="J37" i="233"/>
  <c r="P37" i="299" s="1"/>
  <c r="A2" i="233"/>
  <c r="B2" i="233"/>
  <c r="L2" i="233"/>
  <c r="C3" i="233"/>
  <c r="D3" i="233"/>
  <c r="E3" i="233"/>
  <c r="F3" i="233"/>
  <c r="G3" i="233"/>
  <c r="H3" i="233"/>
  <c r="I5" i="233"/>
  <c r="O5" i="299" s="1"/>
  <c r="N5" i="299" s="1"/>
  <c r="K5" i="233"/>
  <c r="Q5" i="299" s="1"/>
  <c r="I6" i="233"/>
  <c r="O6" i="299" s="1"/>
  <c r="N6" i="299" s="1"/>
  <c r="K6" i="233"/>
  <c r="Q6" i="299" s="1"/>
  <c r="E7" i="233"/>
  <c r="C8" i="233"/>
  <c r="D8" i="233"/>
  <c r="E8" i="233"/>
  <c r="G8" i="233"/>
  <c r="H8" i="233"/>
  <c r="D9" i="233"/>
  <c r="E9" i="233"/>
  <c r="H9" i="233"/>
  <c r="I9" i="233"/>
  <c r="O9" i="299" s="1"/>
  <c r="N9" i="299" s="1"/>
  <c r="C10" i="233"/>
  <c r="E11" i="233"/>
  <c r="H11" i="233"/>
  <c r="K11" i="233"/>
  <c r="Q11" i="299" s="1"/>
  <c r="E12" i="233"/>
  <c r="G12" i="233"/>
  <c r="H12" i="233"/>
  <c r="C13" i="233"/>
  <c r="D13" i="233"/>
  <c r="G13" i="233"/>
  <c r="C14" i="233"/>
  <c r="G14" i="233"/>
  <c r="E15" i="233"/>
  <c r="I15" i="233"/>
  <c r="O15" i="299" s="1"/>
  <c r="N15" i="299" s="1"/>
  <c r="L15" i="233"/>
  <c r="I16" i="233"/>
  <c r="O16" i="299" s="1"/>
  <c r="N16" i="299" s="1"/>
  <c r="L16" i="233"/>
  <c r="D17" i="233"/>
  <c r="G17" i="233"/>
  <c r="H17" i="233"/>
  <c r="K17" i="233"/>
  <c r="Q17" i="299" s="1"/>
  <c r="L17" i="233"/>
  <c r="J18" i="233"/>
  <c r="P18" i="299" s="1"/>
  <c r="L18" i="233"/>
  <c r="D19" i="233"/>
  <c r="E19" i="233"/>
  <c r="H19" i="233"/>
  <c r="K19" i="233"/>
  <c r="Q19" i="299" s="1"/>
  <c r="L19" i="233"/>
  <c r="C23" i="233"/>
  <c r="D23" i="233"/>
  <c r="K23" i="233"/>
  <c r="Q23" i="299" s="1"/>
  <c r="C24" i="233"/>
  <c r="E24" i="233"/>
  <c r="F24" i="233"/>
  <c r="G24" i="233"/>
  <c r="I24" i="233"/>
  <c r="O24" i="299" s="1"/>
  <c r="N24" i="299" s="1"/>
  <c r="J24" i="233"/>
  <c r="P24" i="299" s="1"/>
  <c r="K24" i="233"/>
  <c r="Q24" i="299" s="1"/>
  <c r="D25" i="233"/>
  <c r="H25" i="233"/>
  <c r="E26" i="233"/>
  <c r="G26" i="233"/>
  <c r="I26" i="233"/>
  <c r="O26" i="299" s="1"/>
  <c r="K26" i="233"/>
  <c r="Q26" i="299" s="1"/>
  <c r="J27" i="233"/>
  <c r="P27" i="299" s="1"/>
  <c r="C28" i="233"/>
  <c r="E28" i="233"/>
  <c r="I28" i="233"/>
  <c r="O28" i="299" s="1"/>
  <c r="N28" i="299" s="1"/>
  <c r="K28" i="233"/>
  <c r="Q28" i="299" s="1"/>
  <c r="C29" i="233"/>
  <c r="F29" i="233"/>
  <c r="H29" i="233"/>
  <c r="C30" i="233"/>
  <c r="G30" i="233"/>
  <c r="K30" i="233"/>
  <c r="Q30" i="299" s="1"/>
  <c r="D31" i="233"/>
  <c r="G31" i="233"/>
  <c r="H31" i="233"/>
  <c r="C32" i="233"/>
  <c r="F32" i="233"/>
  <c r="G32" i="233"/>
  <c r="K32" i="233"/>
  <c r="Q32" i="299" s="1"/>
  <c r="D33" i="233"/>
  <c r="G33" i="233"/>
  <c r="H33" i="233"/>
  <c r="K33" i="233"/>
  <c r="Q33" i="299" s="1"/>
  <c r="L33" i="233"/>
  <c r="F34" i="233"/>
  <c r="H34" i="233"/>
  <c r="J34" i="233"/>
  <c r="P34" i="299" s="1"/>
  <c r="L34" i="233"/>
  <c r="C35" i="233"/>
  <c r="F35" i="233"/>
  <c r="G35" i="233"/>
  <c r="H35" i="233"/>
  <c r="K35" i="233"/>
  <c r="Q35" i="299" s="1"/>
  <c r="L35" i="233"/>
  <c r="D36" i="233"/>
  <c r="H36" i="233"/>
  <c r="J36" i="233"/>
  <c r="P36" i="299" s="1"/>
  <c r="L36" i="233"/>
  <c r="C37" i="233"/>
  <c r="D37" i="233"/>
  <c r="G37" i="233"/>
  <c r="H37" i="233"/>
  <c r="K37" i="233"/>
  <c r="Q37" i="299" s="1"/>
  <c r="L37" i="233"/>
  <c r="L38" i="233"/>
  <c r="M38" i="233"/>
  <c r="M39" i="233"/>
  <c r="N38" i="233"/>
  <c r="O38" i="233"/>
  <c r="O39" i="233"/>
  <c r="P38" i="233"/>
  <c r="Q38" i="233"/>
  <c r="Q39" i="233"/>
  <c r="R38" i="233"/>
  <c r="R39" i="233" s="1"/>
  <c r="S38" i="233"/>
  <c r="S39" i="233" s="1"/>
  <c r="T38" i="233"/>
  <c r="U38" i="233"/>
  <c r="U39" i="233"/>
  <c r="V38" i="233"/>
  <c r="W38" i="233"/>
  <c r="W39" i="233"/>
  <c r="A39" i="233"/>
  <c r="A45" i="233" s="1"/>
  <c r="L39" i="233"/>
  <c r="N39" i="233"/>
  <c r="P39" i="233"/>
  <c r="T39" i="233"/>
  <c r="V39" i="233"/>
  <c r="A40" i="233"/>
  <c r="C6" i="133"/>
  <c r="D8" i="133"/>
  <c r="F10" i="133"/>
  <c r="J12" i="133"/>
  <c r="P12" i="298" s="1"/>
  <c r="E14" i="133"/>
  <c r="I14" i="133"/>
  <c r="O14" i="298"/>
  <c r="N14" i="298" s="1"/>
  <c r="I16" i="133"/>
  <c r="C17" i="133"/>
  <c r="C15" i="133" s="1"/>
  <c r="F17" i="133"/>
  <c r="D18" i="133"/>
  <c r="D20" i="133"/>
  <c r="F21" i="133"/>
  <c r="H22" i="133"/>
  <c r="H23" i="133"/>
  <c r="J23" i="133"/>
  <c r="P23" i="298" s="1"/>
  <c r="D24" i="133"/>
  <c r="H24" i="133"/>
  <c r="F29" i="133"/>
  <c r="F31" i="133"/>
  <c r="G31" i="133"/>
  <c r="H31" i="133"/>
  <c r="D35" i="133"/>
  <c r="F35" i="133"/>
  <c r="C37" i="133"/>
  <c r="G37" i="133"/>
  <c r="G39" i="133"/>
  <c r="C40" i="133"/>
  <c r="G40" i="133"/>
  <c r="K40" i="133"/>
  <c r="Q40" i="298" s="1"/>
  <c r="D41" i="133"/>
  <c r="H41" i="133"/>
  <c r="G43" i="133"/>
  <c r="I44" i="133"/>
  <c r="O44" i="298" s="1"/>
  <c r="N44" i="298" s="1"/>
  <c r="E45" i="133"/>
  <c r="I45" i="133"/>
  <c r="O45" i="298"/>
  <c r="N45" i="298"/>
  <c r="F46" i="133"/>
  <c r="E47" i="133"/>
  <c r="I47" i="133"/>
  <c r="O47" i="298"/>
  <c r="N47" i="298" s="1"/>
  <c r="A142" i="351"/>
  <c r="A2" i="133"/>
  <c r="B2" i="133"/>
  <c r="C3" i="133"/>
  <c r="D3" i="133"/>
  <c r="E3" i="133"/>
  <c r="F3" i="133"/>
  <c r="G3" i="133"/>
  <c r="H3" i="133"/>
  <c r="E6" i="133"/>
  <c r="F6" i="133"/>
  <c r="H6" i="133"/>
  <c r="I6" i="133"/>
  <c r="O6" i="298"/>
  <c r="N6" i="298" s="1"/>
  <c r="K6" i="133"/>
  <c r="Q6" i="298"/>
  <c r="C7" i="133"/>
  <c r="D7" i="133"/>
  <c r="E7" i="133"/>
  <c r="F7" i="133"/>
  <c r="F5" i="133" s="1"/>
  <c r="G7" i="133"/>
  <c r="H7" i="133"/>
  <c r="I7" i="133"/>
  <c r="O7" i="298"/>
  <c r="N7" i="298" s="1"/>
  <c r="J7" i="133"/>
  <c r="P7" i="298" s="1"/>
  <c r="K7" i="133"/>
  <c r="Q7" i="298" s="1"/>
  <c r="C8" i="133"/>
  <c r="E8" i="133"/>
  <c r="F8" i="133"/>
  <c r="G8" i="133"/>
  <c r="I8" i="133"/>
  <c r="O8" i="298" s="1"/>
  <c r="N8" i="298" s="1"/>
  <c r="J8" i="133"/>
  <c r="P8" i="298" s="1"/>
  <c r="C10" i="133"/>
  <c r="D10" i="133"/>
  <c r="E10" i="133"/>
  <c r="G10" i="133"/>
  <c r="H10" i="133"/>
  <c r="I10" i="133"/>
  <c r="O10" i="298" s="1"/>
  <c r="N10" i="298" s="1"/>
  <c r="K10" i="133"/>
  <c r="Q10" i="298" s="1"/>
  <c r="C11" i="133"/>
  <c r="D11" i="133"/>
  <c r="E11" i="133"/>
  <c r="E9" i="133" s="1"/>
  <c r="F11" i="133"/>
  <c r="G11" i="133"/>
  <c r="H11" i="133"/>
  <c r="I11" i="133"/>
  <c r="O11" i="298" s="1"/>
  <c r="N11" i="298" s="1"/>
  <c r="J11" i="133"/>
  <c r="P11" i="298" s="1"/>
  <c r="K11" i="133"/>
  <c r="Q11" i="298" s="1"/>
  <c r="C12" i="133"/>
  <c r="E12" i="133"/>
  <c r="H12" i="133"/>
  <c r="I12" i="133"/>
  <c r="O12" i="298" s="1"/>
  <c r="N12" i="298" s="1"/>
  <c r="K12" i="133"/>
  <c r="Q12" i="298" s="1"/>
  <c r="C13" i="133"/>
  <c r="D13" i="133"/>
  <c r="E13" i="133"/>
  <c r="F13" i="133"/>
  <c r="G13" i="133"/>
  <c r="H13" i="133"/>
  <c r="I13" i="133"/>
  <c r="O13" i="298" s="1"/>
  <c r="N13" i="298" s="1"/>
  <c r="J13" i="133"/>
  <c r="P13" i="298"/>
  <c r="K13" i="133"/>
  <c r="Q13" i="298" s="1"/>
  <c r="C14" i="133"/>
  <c r="D14" i="133"/>
  <c r="F14" i="133"/>
  <c r="G14" i="133"/>
  <c r="H14" i="133"/>
  <c r="J14" i="133"/>
  <c r="P14" i="298"/>
  <c r="K14" i="133"/>
  <c r="Q14" i="298" s="1"/>
  <c r="E16" i="133"/>
  <c r="F16" i="133"/>
  <c r="G16" i="133"/>
  <c r="H16" i="133"/>
  <c r="J16" i="133"/>
  <c r="P16" i="298" s="1"/>
  <c r="K16" i="133"/>
  <c r="Q16" i="298" s="1"/>
  <c r="D17" i="133"/>
  <c r="E17" i="133"/>
  <c r="G17" i="133"/>
  <c r="H17" i="133"/>
  <c r="I17" i="133"/>
  <c r="O17" i="298" s="1"/>
  <c r="N17" i="298" s="1"/>
  <c r="J17" i="133"/>
  <c r="P17" i="298" s="1"/>
  <c r="K17" i="133"/>
  <c r="Q17" i="298" s="1"/>
  <c r="C18" i="133"/>
  <c r="E18" i="133"/>
  <c r="F18" i="133"/>
  <c r="G18" i="133"/>
  <c r="I18" i="133"/>
  <c r="O18" i="298" s="1"/>
  <c r="N18" i="298" s="1"/>
  <c r="J18" i="133"/>
  <c r="P18" i="298" s="1"/>
  <c r="K18" i="133"/>
  <c r="Q18" i="298" s="1"/>
  <c r="C20" i="133"/>
  <c r="E20" i="133"/>
  <c r="F20" i="133"/>
  <c r="G20" i="133"/>
  <c r="H20" i="133"/>
  <c r="I20" i="133"/>
  <c r="O20" i="298" s="1"/>
  <c r="N20" i="298" s="1"/>
  <c r="K20" i="133"/>
  <c r="Q20" i="298" s="1"/>
  <c r="C21" i="133"/>
  <c r="D21" i="133"/>
  <c r="E21" i="133"/>
  <c r="G21" i="133"/>
  <c r="H21" i="133"/>
  <c r="I21" i="133"/>
  <c r="O21" i="298"/>
  <c r="N21" i="298" s="1"/>
  <c r="J21" i="133"/>
  <c r="P21" i="298" s="1"/>
  <c r="K21" i="133"/>
  <c r="Q21" i="298" s="1"/>
  <c r="C22" i="133"/>
  <c r="E22" i="133"/>
  <c r="F22" i="133"/>
  <c r="G22" i="133"/>
  <c r="I22" i="133"/>
  <c r="O22" i="298" s="1"/>
  <c r="N22" i="298" s="1"/>
  <c r="J22" i="133"/>
  <c r="P22" i="298" s="1"/>
  <c r="K22" i="133"/>
  <c r="Q22" i="298" s="1"/>
  <c r="C23" i="133"/>
  <c r="E23" i="133"/>
  <c r="F23" i="133"/>
  <c r="G23" i="133"/>
  <c r="I23" i="133"/>
  <c r="O23" i="298" s="1"/>
  <c r="N23" i="298" s="1"/>
  <c r="K23" i="133"/>
  <c r="Q23" i="298" s="1"/>
  <c r="C24" i="133"/>
  <c r="E24" i="133"/>
  <c r="F24" i="133"/>
  <c r="G24" i="133"/>
  <c r="I24" i="133"/>
  <c r="O24" i="298" s="1"/>
  <c r="N24" i="298" s="1"/>
  <c r="J24" i="133"/>
  <c r="P24" i="298" s="1"/>
  <c r="K24" i="133"/>
  <c r="Q24" i="298" s="1"/>
  <c r="A25" i="133"/>
  <c r="A25" i="298" s="1"/>
  <c r="A28" i="133"/>
  <c r="A28" i="298"/>
  <c r="A29" i="133"/>
  <c r="A29" i="298" s="1"/>
  <c r="D29" i="133"/>
  <c r="E29" i="133"/>
  <c r="G29" i="133"/>
  <c r="H29" i="133"/>
  <c r="I29" i="133"/>
  <c r="O29" i="298" s="1"/>
  <c r="N29" i="298" s="1"/>
  <c r="J29" i="133"/>
  <c r="P29" i="298" s="1"/>
  <c r="A30" i="133"/>
  <c r="A30" i="298"/>
  <c r="C30" i="133"/>
  <c r="D30" i="133"/>
  <c r="E30" i="133"/>
  <c r="F30" i="133"/>
  <c r="G30" i="133"/>
  <c r="G28" i="133" s="1"/>
  <c r="H30" i="133"/>
  <c r="I30" i="133"/>
  <c r="O30" i="298" s="1"/>
  <c r="N30" i="298" s="1"/>
  <c r="J30" i="133"/>
  <c r="P30" i="298" s="1"/>
  <c r="K30" i="133"/>
  <c r="Q30" i="298" s="1"/>
  <c r="A31" i="133"/>
  <c r="A31" i="298"/>
  <c r="C31" i="133"/>
  <c r="D31" i="133"/>
  <c r="J31" i="133"/>
  <c r="P31" i="298" s="1"/>
  <c r="K31" i="133"/>
  <c r="Q31" i="298" s="1"/>
  <c r="A32" i="133"/>
  <c r="A32" i="298"/>
  <c r="A33" i="133"/>
  <c r="A33" i="298"/>
  <c r="C33" i="133"/>
  <c r="H33" i="133"/>
  <c r="I33" i="133"/>
  <c r="O33" i="298" s="1"/>
  <c r="N33" i="298" s="1"/>
  <c r="J33" i="133"/>
  <c r="P33" i="298" s="1"/>
  <c r="K33" i="133"/>
  <c r="Q33" i="298" s="1"/>
  <c r="A34" i="133"/>
  <c r="A34" i="298"/>
  <c r="C34" i="133"/>
  <c r="D34" i="133"/>
  <c r="E34" i="133"/>
  <c r="F34" i="133"/>
  <c r="G34" i="133"/>
  <c r="H34" i="133"/>
  <c r="I34" i="133"/>
  <c r="O34" i="298" s="1"/>
  <c r="N34" i="298" s="1"/>
  <c r="J34" i="133"/>
  <c r="P34" i="298" s="1"/>
  <c r="K34" i="133"/>
  <c r="Q34" i="298" s="1"/>
  <c r="A35" i="133"/>
  <c r="A35" i="298"/>
  <c r="C35" i="133"/>
  <c r="G35" i="133"/>
  <c r="H35" i="133"/>
  <c r="I35" i="133"/>
  <c r="O35" i="298" s="1"/>
  <c r="N35" i="298" s="1"/>
  <c r="J35" i="133"/>
  <c r="P35" i="298" s="1"/>
  <c r="K35" i="133"/>
  <c r="Q35" i="298" s="1"/>
  <c r="A36" i="133"/>
  <c r="A36" i="298"/>
  <c r="C36" i="133"/>
  <c r="D36" i="133"/>
  <c r="E36" i="133"/>
  <c r="F36" i="133"/>
  <c r="G36" i="133"/>
  <c r="H36" i="133"/>
  <c r="I36" i="133"/>
  <c r="O36" i="298" s="1"/>
  <c r="N36" i="298" s="1"/>
  <c r="J36" i="133"/>
  <c r="P36" i="298" s="1"/>
  <c r="K36" i="133"/>
  <c r="Q36" i="298" s="1"/>
  <c r="A37" i="133"/>
  <c r="A37" i="298" s="1"/>
  <c r="D37" i="133"/>
  <c r="E37" i="133"/>
  <c r="F37" i="133"/>
  <c r="H37" i="133"/>
  <c r="I37" i="133"/>
  <c r="O37" i="298" s="1"/>
  <c r="N37" i="298" s="1"/>
  <c r="J37" i="133"/>
  <c r="P37" i="298" s="1"/>
  <c r="K37" i="133"/>
  <c r="Q37" i="298" s="1"/>
  <c r="A38" i="133"/>
  <c r="A38" i="298"/>
  <c r="A39" i="133"/>
  <c r="A39" i="298"/>
  <c r="C39" i="133"/>
  <c r="E39" i="133"/>
  <c r="F39" i="133"/>
  <c r="I39" i="133"/>
  <c r="O39" i="298" s="1"/>
  <c r="N39" i="298" s="1"/>
  <c r="J39" i="133"/>
  <c r="P39" i="298" s="1"/>
  <c r="K39" i="133"/>
  <c r="Q39" i="298" s="1"/>
  <c r="A40" i="133"/>
  <c r="A40" i="298"/>
  <c r="D40" i="133"/>
  <c r="E40" i="133"/>
  <c r="F40" i="133"/>
  <c r="H40" i="133"/>
  <c r="I40" i="133"/>
  <c r="O40" i="298" s="1"/>
  <c r="N40" i="298" s="1"/>
  <c r="J40" i="133"/>
  <c r="P40" i="298" s="1"/>
  <c r="A41" i="133"/>
  <c r="A41" i="298"/>
  <c r="C41" i="133"/>
  <c r="E41" i="133"/>
  <c r="F41" i="133"/>
  <c r="F38" i="133" s="1"/>
  <c r="G41" i="133"/>
  <c r="I41" i="133"/>
  <c r="O41" i="298"/>
  <c r="N41" i="298" s="1"/>
  <c r="J41" i="133"/>
  <c r="P41" i="298" s="1"/>
  <c r="K41" i="133"/>
  <c r="Q41" i="298"/>
  <c r="A42" i="133"/>
  <c r="A42" i="298" s="1"/>
  <c r="A43" i="133"/>
  <c r="A43" i="298"/>
  <c r="C43" i="133"/>
  <c r="E43" i="133"/>
  <c r="H43" i="133"/>
  <c r="I43" i="133"/>
  <c r="O43" i="298" s="1"/>
  <c r="N43" i="298" s="1"/>
  <c r="J43" i="133"/>
  <c r="P43" i="298" s="1"/>
  <c r="K43" i="133"/>
  <c r="Q43" i="298" s="1"/>
  <c r="A44" i="133"/>
  <c r="A44" i="298"/>
  <c r="D44" i="133"/>
  <c r="F44" i="133"/>
  <c r="G44" i="133"/>
  <c r="H44" i="133"/>
  <c r="J44" i="133"/>
  <c r="P44" i="298" s="1"/>
  <c r="K44" i="133"/>
  <c r="Q44" i="298" s="1"/>
  <c r="A45" i="133"/>
  <c r="A45" i="298" s="1"/>
  <c r="C45" i="133"/>
  <c r="D45" i="133"/>
  <c r="F45" i="133"/>
  <c r="G45" i="133"/>
  <c r="H45" i="133"/>
  <c r="J45" i="133"/>
  <c r="P45" i="298" s="1"/>
  <c r="K45" i="133"/>
  <c r="Q45" i="298" s="1"/>
  <c r="A46" i="133"/>
  <c r="A46" i="298"/>
  <c r="C46" i="133"/>
  <c r="D46" i="133"/>
  <c r="E46" i="133"/>
  <c r="G46" i="133"/>
  <c r="H46" i="133"/>
  <c r="I46" i="133"/>
  <c r="O46" i="298" s="1"/>
  <c r="N46" i="298" s="1"/>
  <c r="J46" i="133"/>
  <c r="P46" i="298" s="1"/>
  <c r="K46" i="133"/>
  <c r="Q46" i="298" s="1"/>
  <c r="A47" i="133"/>
  <c r="A47" i="298"/>
  <c r="C47" i="133"/>
  <c r="D47" i="133"/>
  <c r="F47" i="133"/>
  <c r="G47" i="133"/>
  <c r="H47" i="133"/>
  <c r="J47" i="133"/>
  <c r="P47" i="298" s="1"/>
  <c r="K47" i="133"/>
  <c r="Q47" i="298" s="1"/>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c r="F12" i="86"/>
  <c r="G12" i="86"/>
  <c r="H12" i="86"/>
  <c r="I12" i="86"/>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C28" i="86"/>
  <c r="D28" i="86"/>
  <c r="E28" i="86"/>
  <c r="F28" i="86"/>
  <c r="G28" i="86"/>
  <c r="K28" i="86"/>
  <c r="M107" i="123" s="1"/>
  <c r="A29" i="86"/>
  <c r="B29" i="86"/>
  <c r="C29" i="86"/>
  <c r="D29" i="86"/>
  <c r="E29" i="86"/>
  <c r="F29" i="86"/>
  <c r="G29" i="86"/>
  <c r="H29" i="86"/>
  <c r="I29" i="86"/>
  <c r="J29" i="86"/>
  <c r="L105" i="123" s="1"/>
  <c r="K29" i="86"/>
  <c r="A30" i="86"/>
  <c r="B30" i="86"/>
  <c r="C30" i="86"/>
  <c r="D30" i="86"/>
  <c r="E30" i="86"/>
  <c r="F30" i="86"/>
  <c r="G30" i="86"/>
  <c r="H30" i="86"/>
  <c r="I30" i="86"/>
  <c r="K106" i="123"/>
  <c r="J30" i="86"/>
  <c r="L106" i="123"/>
  <c r="K30" i="86"/>
  <c r="M106" i="123"/>
  <c r="A31" i="86"/>
  <c r="B31" i="86"/>
  <c r="D105" i="123" s="1"/>
  <c r="C31" i="86"/>
  <c r="D31" i="86"/>
  <c r="E31" i="86"/>
  <c r="F31" i="86"/>
  <c r="G31" i="86"/>
  <c r="I105" i="123" s="1"/>
  <c r="H31" i="86"/>
  <c r="I31" i="86"/>
  <c r="J31" i="86"/>
  <c r="K31" i="86"/>
  <c r="M105" i="123" s="1"/>
  <c r="A35" i="86"/>
  <c r="B35" i="86"/>
  <c r="A36" i="86"/>
  <c r="E36" i="86"/>
  <c r="A37" i="86"/>
  <c r="B37" i="86"/>
  <c r="J37" i="86"/>
  <c r="A38" i="86"/>
  <c r="B38" i="86"/>
  <c r="F38" i="86"/>
  <c r="G38" i="86"/>
  <c r="J38" i="86"/>
  <c r="K38" i="86"/>
  <c r="B39" i="86"/>
  <c r="C39" i="86"/>
  <c r="D39" i="86"/>
  <c r="E39" i="86"/>
  <c r="F39" i="86"/>
  <c r="K39" i="86"/>
  <c r="B42" i="86"/>
  <c r="C42" i="86"/>
  <c r="F42" i="86"/>
  <c r="B43" i="86"/>
  <c r="C43" i="86"/>
  <c r="E43" i="86"/>
  <c r="H43" i="86"/>
  <c r="B44" i="86"/>
  <c r="D44" i="86"/>
  <c r="H44" i="86"/>
  <c r="A45" i="86"/>
  <c r="A41" i="301"/>
  <c r="A48" i="86"/>
  <c r="A49" i="86"/>
  <c r="F53" i="86"/>
  <c r="G53" i="86"/>
  <c r="K53" i="86"/>
  <c r="A54" i="86"/>
  <c r="A62" i="86"/>
  <c r="A63" i="86"/>
  <c r="A64" i="86"/>
  <c r="A65" i="86"/>
  <c r="A2" i="347"/>
  <c r="A5" i="233"/>
  <c r="A5" i="299" s="1"/>
  <c r="A23" i="299" s="1"/>
  <c r="A3" i="347"/>
  <c r="A17" i="343" s="1"/>
  <c r="A4" i="347"/>
  <c r="A28" i="343"/>
  <c r="D4" i="347"/>
  <c r="A5" i="347"/>
  <c r="A39" i="343" s="1"/>
  <c r="D5" i="347"/>
  <c r="A9" i="233"/>
  <c r="G2" i="246" s="1"/>
  <c r="D6" i="347"/>
  <c r="A10" i="233"/>
  <c r="H2" i="246" s="1"/>
  <c r="D7" i="347"/>
  <c r="A72" i="343"/>
  <c r="A241" i="343" s="1"/>
  <c r="D8" i="347"/>
  <c r="A9" i="347"/>
  <c r="A83" i="343" s="1"/>
  <c r="D9" i="347"/>
  <c r="A10" i="347"/>
  <c r="A13" i="233" s="1"/>
  <c r="A13" i="299" s="1"/>
  <c r="A31" i="299" s="1"/>
  <c r="D10" i="347"/>
  <c r="A11" i="347"/>
  <c r="A32" i="233" s="1"/>
  <c r="D11" i="347"/>
  <c r="A12" i="347"/>
  <c r="A116" i="343"/>
  <c r="D12" i="347"/>
  <c r="A13" i="347"/>
  <c r="A127" i="343" s="1"/>
  <c r="A14" i="347"/>
  <c r="A138" i="343"/>
  <c r="A15" i="347"/>
  <c r="A149" i="343" s="1"/>
  <c r="D15" i="347"/>
  <c r="A16" i="347"/>
  <c r="A160" i="343"/>
  <c r="A329" i="343" s="1"/>
  <c r="D16" i="347"/>
  <c r="D17" i="347"/>
  <c r="D18" i="347"/>
  <c r="D19" i="347"/>
  <c r="D20" i="347"/>
  <c r="D21" i="347"/>
  <c r="D22" i="347"/>
  <c r="D23" i="347"/>
  <c r="D27" i="347"/>
  <c r="D28" i="347"/>
  <c r="D29" i="347"/>
  <c r="D30" i="347"/>
  <c r="D31" i="347"/>
  <c r="D32" i="347"/>
  <c r="D33" i="347"/>
  <c r="D34" i="347"/>
  <c r="D41" i="347"/>
  <c r="D42" i="347"/>
  <c r="D43" i="347"/>
  <c r="D44" i="347"/>
  <c r="D45" i="347"/>
  <c r="D54" i="347"/>
  <c r="D55" i="347"/>
  <c r="D56"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308" i="344"/>
  <c r="B93" i="100"/>
  <c r="A95" i="100"/>
  <c r="B102" i="100" s="1"/>
  <c r="E100" i="100"/>
  <c r="F100" i="100"/>
  <c r="E101" i="100"/>
  <c r="F101" i="100"/>
  <c r="E102" i="100"/>
  <c r="F102" i="100"/>
  <c r="E103" i="100"/>
  <c r="F103" i="100"/>
  <c r="B104" i="100"/>
  <c r="E104" i="100"/>
  <c r="F104" i="100"/>
  <c r="B105" i="100"/>
  <c r="E105" i="100"/>
  <c r="F105" i="100"/>
  <c r="A78" i="128"/>
  <c r="B106" i="100"/>
  <c r="E106" i="100"/>
  <c r="F106" i="100"/>
  <c r="E107" i="100"/>
  <c r="F107" i="100"/>
  <c r="B107" i="100" s="1"/>
  <c r="E108" i="100"/>
  <c r="F108" i="100"/>
  <c r="B109" i="100"/>
  <c r="E109" i="100"/>
  <c r="F109" i="100"/>
  <c r="C110" i="100"/>
  <c r="D110" i="100"/>
  <c r="B111" i="100"/>
  <c r="E112" i="100"/>
  <c r="F112" i="100"/>
  <c r="B112" i="100" s="1"/>
  <c r="A1" i="246" s="1"/>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B146" i="100"/>
  <c r="E146" i="100"/>
  <c r="F146" i="100"/>
  <c r="B147" i="100"/>
  <c r="E147" i="100"/>
  <c r="F147" i="100"/>
  <c r="E148" i="100"/>
  <c r="F148" i="100"/>
  <c r="B148" i="100" s="1"/>
  <c r="A1" i="349" s="1"/>
  <c r="E149" i="100"/>
  <c r="F149" i="100"/>
  <c r="B149" i="100" s="1"/>
  <c r="A1" i="358" s="1"/>
  <c r="B150" i="100"/>
  <c r="E150" i="100"/>
  <c r="F150" i="100"/>
  <c r="B151" i="100"/>
  <c r="E151" i="100"/>
  <c r="F151" i="100"/>
  <c r="E152" i="100"/>
  <c r="F152" i="100"/>
  <c r="B152" i="100" s="1"/>
  <c r="A1" i="296"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25" i="100" s="1"/>
  <c r="J39" i="129"/>
  <c r="I38" i="86"/>
  <c r="J34" i="129"/>
  <c r="J15" i="88" s="1"/>
  <c r="K68" i="248"/>
  <c r="K54" i="86"/>
  <c r="I65" i="248"/>
  <c r="H53" i="86"/>
  <c r="I95" i="248"/>
  <c r="O15" i="300"/>
  <c r="K100" i="123"/>
  <c r="E58" i="253"/>
  <c r="H122" i="363"/>
  <c r="J134" i="363"/>
  <c r="H143" i="363"/>
  <c r="L143" i="363"/>
  <c r="F153" i="363"/>
  <c r="J153" i="363"/>
  <c r="F168" i="363"/>
  <c r="J168" i="363"/>
  <c r="H214" i="363"/>
  <c r="J226" i="363"/>
  <c r="H235" i="363"/>
  <c r="L235" i="363"/>
  <c r="F143" i="363"/>
  <c r="J235" i="363"/>
  <c r="J143" i="363"/>
  <c r="K76" i="363"/>
  <c r="M107" i="363"/>
  <c r="I122" i="363"/>
  <c r="G134" i="363"/>
  <c r="K134" i="363"/>
  <c r="M199" i="363"/>
  <c r="I214" i="363"/>
  <c r="F76" i="363"/>
  <c r="F122" i="363"/>
  <c r="J122" i="363"/>
  <c r="G168" i="363"/>
  <c r="K168" i="363"/>
  <c r="H189" i="363"/>
  <c r="L189" i="363"/>
  <c r="G122" i="363"/>
  <c r="K122" i="363"/>
  <c r="K143" i="363"/>
  <c r="E168" i="363"/>
  <c r="I168" i="363"/>
  <c r="M168" i="363"/>
  <c r="G180" i="363"/>
  <c r="K180" i="363"/>
  <c r="E245" i="363"/>
  <c r="I245" i="363"/>
  <c r="M245" i="363"/>
  <c r="E122" i="363"/>
  <c r="M122" i="363"/>
  <c r="E199" i="363"/>
  <c r="I199" i="363"/>
  <c r="E226" i="363"/>
  <c r="I226" i="363"/>
  <c r="M226" i="363"/>
  <c r="G235" i="363"/>
  <c r="K235" i="363"/>
  <c r="E143" i="363"/>
  <c r="I143" i="363"/>
  <c r="M143" i="363"/>
  <c r="G153" i="363"/>
  <c r="K153" i="363"/>
  <c r="H180" i="363"/>
  <c r="F189" i="363"/>
  <c r="J189" i="363"/>
  <c r="E189" i="363"/>
  <c r="I189" i="363"/>
  <c r="M189" i="363"/>
  <c r="G199" i="363"/>
  <c r="K199" i="363"/>
  <c r="G214" i="363"/>
  <c r="K214" i="363"/>
  <c r="G226" i="363"/>
  <c r="K226" i="363"/>
  <c r="E235" i="363"/>
  <c r="I235" i="363"/>
  <c r="M235" i="363"/>
  <c r="L122" i="363"/>
  <c r="E134" i="363"/>
  <c r="I134" i="363"/>
  <c r="M134" i="363"/>
  <c r="E180" i="363"/>
  <c r="I180" i="363"/>
  <c r="M180" i="363"/>
  <c r="G189" i="363"/>
  <c r="K189" i="363"/>
  <c r="H199" i="363"/>
  <c r="L199" i="363"/>
  <c r="L214" i="363"/>
  <c r="H226" i="363"/>
  <c r="L226" i="363"/>
  <c r="F235" i="363"/>
  <c r="G245" i="363"/>
  <c r="K245" i="363"/>
  <c r="G76" i="363"/>
  <c r="G143" i="363"/>
  <c r="F199" i="363"/>
  <c r="J199" i="363"/>
  <c r="F226" i="363"/>
  <c r="H134" i="363"/>
  <c r="L134" i="363"/>
  <c r="E153" i="363"/>
  <c r="I153" i="363"/>
  <c r="M153" i="363"/>
  <c r="H153" i="363"/>
  <c r="L153" i="363"/>
  <c r="F180" i="363"/>
  <c r="J180" i="363"/>
  <c r="F214" i="363"/>
  <c r="J214" i="363"/>
  <c r="E214" i="363"/>
  <c r="M214" i="363"/>
  <c r="F245" i="363"/>
  <c r="J245" i="363"/>
  <c r="F134" i="363"/>
  <c r="L180" i="363"/>
  <c r="H245" i="363"/>
  <c r="L245" i="363"/>
  <c r="A1" i="126"/>
  <c r="H168" i="363"/>
  <c r="L168" i="363"/>
  <c r="O8" i="137"/>
  <c r="N8" i="137"/>
  <c r="K47" i="123"/>
  <c r="K39" i="123"/>
  <c r="M47" i="123"/>
  <c r="Q8" i="137"/>
  <c r="Q32" i="137"/>
  <c r="Q5" i="137"/>
  <c r="O9" i="137"/>
  <c r="N9" i="137" s="1"/>
  <c r="P10" i="137"/>
  <c r="J21" i="86"/>
  <c r="A18" i="255"/>
  <c r="K5" i="86"/>
  <c r="P28" i="137"/>
  <c r="J68" i="248"/>
  <c r="G40" i="123"/>
  <c r="L47" i="123"/>
  <c r="K21" i="86"/>
  <c r="L48" i="123"/>
  <c r="L40" i="123"/>
  <c r="F40" i="123"/>
  <c r="H39" i="123"/>
  <c r="D5" i="86"/>
  <c r="I21" i="86"/>
  <c r="A27" i="255"/>
  <c r="K13" i="86"/>
  <c r="Q9" i="137"/>
  <c r="L18" i="88"/>
  <c r="M48" i="123"/>
  <c r="I68" i="248"/>
  <c r="H48" i="123"/>
  <c r="H40" i="123" s="1"/>
  <c r="D48" i="123"/>
  <c r="E40" i="123" s="1"/>
  <c r="I47" i="123"/>
  <c r="I39" i="123" s="1"/>
  <c r="E47" i="123"/>
  <c r="F39" i="123" s="1"/>
  <c r="A12" i="255"/>
  <c r="A15" i="255"/>
  <c r="J40" i="123"/>
  <c r="G39" i="123"/>
  <c r="D68" i="248"/>
  <c r="C54" i="86"/>
  <c r="L39" i="123"/>
  <c r="K40" i="123"/>
  <c r="D60" i="253"/>
  <c r="I14" i="253"/>
  <c r="I62" i="86"/>
  <c r="M76" i="363"/>
  <c r="E107" i="363"/>
  <c r="C31" i="253"/>
  <c r="G31" i="253"/>
  <c r="G36" i="253" s="1"/>
  <c r="K31" i="253"/>
  <c r="H62" i="86"/>
  <c r="K14" i="253"/>
  <c r="K62" i="86" s="1"/>
  <c r="J6" i="86"/>
  <c r="Q7" i="137"/>
  <c r="G46" i="123"/>
  <c r="K107" i="363"/>
  <c r="L107" i="363"/>
  <c r="F107" i="363"/>
  <c r="E96" i="363"/>
  <c r="E97" i="363" s="1"/>
  <c r="I96" i="363"/>
  <c r="I97" i="363" s="1"/>
  <c r="M96" i="363"/>
  <c r="M97" i="363" s="1"/>
  <c r="F97" i="363"/>
  <c r="G96" i="363"/>
  <c r="G97" i="363" s="1"/>
  <c r="K96" i="363"/>
  <c r="K97" i="363" s="1"/>
  <c r="H92" i="363"/>
  <c r="H97" i="363" s="1"/>
  <c r="L92" i="363"/>
  <c r="L97" i="363" s="1"/>
  <c r="I88" i="363"/>
  <c r="M88" i="363"/>
  <c r="E22" i="253"/>
  <c r="F83" i="363"/>
  <c r="F88" i="363"/>
  <c r="L83" i="363"/>
  <c r="L88" i="363"/>
  <c r="J83" i="363"/>
  <c r="J88" i="363"/>
  <c r="D62" i="86"/>
  <c r="E71" i="363"/>
  <c r="E76" i="363"/>
  <c r="X36" i="354"/>
  <c r="B36" i="100"/>
  <c r="B28" i="100"/>
  <c r="B26" i="100"/>
  <c r="B24" i="100"/>
  <c r="B18" i="100"/>
  <c r="B15" i="100"/>
  <c r="B23" i="100"/>
  <c r="B20" i="100"/>
  <c r="B17" i="100"/>
  <c r="B7" i="100"/>
  <c r="J2" i="255" s="1"/>
  <c r="B5" i="100"/>
  <c r="G60" i="86"/>
  <c r="B60" i="86"/>
  <c r="J60" i="86"/>
  <c r="I60" i="86"/>
  <c r="H60" i="86"/>
  <c r="H63" i="86"/>
  <c r="I63" i="86"/>
  <c r="D65" i="86"/>
  <c r="E46" i="253"/>
  <c r="J65" i="86"/>
  <c r="J46" i="253"/>
  <c r="E27" i="253"/>
  <c r="D60" i="86"/>
  <c r="D46" i="253"/>
  <c r="G46" i="253"/>
  <c r="G15" i="253"/>
  <c r="K63" i="86"/>
  <c r="K27" i="253"/>
  <c r="F63" i="86"/>
  <c r="G27" i="253"/>
  <c r="F64" i="86"/>
  <c r="K64" i="86"/>
  <c r="K36" i="253"/>
  <c r="B64" i="86"/>
  <c r="C36" i="253"/>
  <c r="C46" i="253"/>
  <c r="J36" i="253"/>
  <c r="G63" i="305"/>
  <c r="G92" i="255"/>
  <c r="G59" i="86"/>
  <c r="I126" i="123"/>
  <c r="I63" i="305"/>
  <c r="I92" i="255"/>
  <c r="K32" i="305"/>
  <c r="K64" i="305" s="1"/>
  <c r="C63" i="305"/>
  <c r="C92" i="255"/>
  <c r="E32" i="305"/>
  <c r="E91" i="255" s="1"/>
  <c r="E93" i="255" s="1"/>
  <c r="E33" i="127" s="1"/>
  <c r="D16" i="86" s="1"/>
  <c r="K63" i="305"/>
  <c r="K92" i="255"/>
  <c r="F63" i="305"/>
  <c r="F92" i="255"/>
  <c r="F60" i="253"/>
  <c r="E59" i="86"/>
  <c r="C59" i="86"/>
  <c r="E126" i="123"/>
  <c r="L32" i="305"/>
  <c r="H32" i="305"/>
  <c r="D32" i="305"/>
  <c r="L63" i="305"/>
  <c r="L92" i="255"/>
  <c r="F32" i="305"/>
  <c r="C32" i="305"/>
  <c r="H63" i="305"/>
  <c r="H92" i="255"/>
  <c r="E63" i="305"/>
  <c r="E92" i="255"/>
  <c r="J32" i="305"/>
  <c r="Q3" i="233"/>
  <c r="I2" i="233"/>
  <c r="I2" i="133"/>
  <c r="I2" i="86"/>
  <c r="C2" i="294"/>
  <c r="I2" i="144"/>
  <c r="J2" i="128"/>
  <c r="J2" i="129"/>
  <c r="I2" i="301"/>
  <c r="K109" i="363"/>
  <c r="I2" i="337"/>
  <c r="I2" i="147"/>
  <c r="J2" i="237"/>
  <c r="J2" i="127"/>
  <c r="B50" i="100"/>
  <c r="K247" i="363"/>
  <c r="K155" i="363"/>
  <c r="K2" i="296"/>
  <c r="K2" i="123"/>
  <c r="I2" i="316"/>
  <c r="I2" i="253"/>
  <c r="J2" i="343"/>
  <c r="I2" i="146"/>
  <c r="J2" i="126"/>
  <c r="I2" i="349"/>
  <c r="H2" i="361"/>
  <c r="I73" i="147"/>
  <c r="I2" i="248"/>
  <c r="K63" i="363"/>
  <c r="I2" i="358"/>
  <c r="K2" i="315"/>
  <c r="I2" i="249"/>
  <c r="I2" i="136"/>
  <c r="I2" i="350"/>
  <c r="I2" i="336"/>
  <c r="K2" i="141"/>
  <c r="I2" i="142"/>
  <c r="E2" i="139"/>
  <c r="K2" i="314"/>
  <c r="K201" i="363"/>
  <c r="K2" i="363"/>
  <c r="J2" i="131"/>
  <c r="J2" i="305"/>
  <c r="I2" i="134"/>
  <c r="J2" i="88"/>
  <c r="I3" i="253"/>
  <c r="I3" i="233"/>
  <c r="C2" i="300"/>
  <c r="I2" i="148"/>
  <c r="K3" i="296"/>
  <c r="O3" i="298"/>
  <c r="K156" i="363"/>
  <c r="I3" i="350"/>
  <c r="O3" i="300"/>
  <c r="I3" i="249"/>
  <c r="C2" i="137"/>
  <c r="K3" i="314"/>
  <c r="J3" i="237"/>
  <c r="I3" i="336"/>
  <c r="O3" i="140"/>
  <c r="H3" i="362"/>
  <c r="J3" i="255"/>
  <c r="I3" i="86"/>
  <c r="B2" i="95"/>
  <c r="M3" i="256"/>
  <c r="N3" i="95"/>
  <c r="I3" i="136"/>
  <c r="H3" i="361"/>
  <c r="J3" i="128"/>
  <c r="I3" i="349"/>
  <c r="I74" i="147"/>
  <c r="E3" i="139"/>
  <c r="J3" i="88"/>
  <c r="K110" i="363"/>
  <c r="I3" i="337"/>
  <c r="I3" i="144"/>
  <c r="V3" i="343"/>
  <c r="C2" i="299"/>
  <c r="C3" i="294"/>
  <c r="C2" i="140"/>
  <c r="K202" i="363"/>
  <c r="K3" i="123"/>
  <c r="J3" i="131"/>
  <c r="C2" i="298"/>
  <c r="I3" i="248"/>
  <c r="J3" i="305"/>
  <c r="K3" i="315"/>
  <c r="T3" i="343"/>
  <c r="J3" i="127"/>
  <c r="K248" i="363"/>
  <c r="O3" i="137"/>
  <c r="I3" i="134"/>
  <c r="O3" i="299"/>
  <c r="I3" i="142"/>
  <c r="J3" i="129"/>
  <c r="N3" i="343"/>
  <c r="K3" i="141"/>
  <c r="J3" i="343"/>
  <c r="I3" i="133"/>
  <c r="I3" i="301"/>
  <c r="R3" i="343"/>
  <c r="I3" i="358"/>
  <c r="J3" i="126"/>
  <c r="K64" i="363"/>
  <c r="A3" i="360"/>
  <c r="J3" i="337"/>
  <c r="I3" i="146"/>
  <c r="I3" i="147"/>
  <c r="I3" i="316"/>
  <c r="P3" i="343"/>
  <c r="V3" i="233"/>
  <c r="W3" i="127"/>
  <c r="H3" i="294"/>
  <c r="O3" i="127"/>
  <c r="N3" i="233"/>
  <c r="J2" i="139"/>
  <c r="N2" i="139"/>
  <c r="R3" i="233"/>
  <c r="S3" i="127"/>
  <c r="F2" i="305"/>
  <c r="G2" i="361"/>
  <c r="I2" i="296"/>
  <c r="F2" i="316"/>
  <c r="F2" i="255"/>
  <c r="H2" i="314"/>
  <c r="F2" i="233"/>
  <c r="F2" i="147"/>
  <c r="F2" i="136"/>
  <c r="E2" i="86"/>
  <c r="F2" i="301"/>
  <c r="T3" i="233"/>
  <c r="K3" i="316"/>
  <c r="G3" i="139"/>
  <c r="K3" i="134"/>
  <c r="K74" i="147"/>
  <c r="Q3" i="299"/>
  <c r="J3" i="362"/>
  <c r="L3" i="255"/>
  <c r="K3" i="301"/>
  <c r="M3" i="123"/>
  <c r="K3" i="350"/>
  <c r="K3" i="233"/>
  <c r="M248" i="363"/>
  <c r="K3" i="349"/>
  <c r="K3" i="144"/>
  <c r="M156" i="363"/>
  <c r="P3" i="95"/>
  <c r="E3" i="294"/>
  <c r="Q3" i="137"/>
  <c r="L3" i="88"/>
  <c r="L3" i="343"/>
  <c r="K3" i="146"/>
  <c r="M3" i="314"/>
  <c r="Q3" i="298"/>
  <c r="M110" i="363"/>
  <c r="K3" i="147"/>
  <c r="L3" i="337"/>
  <c r="M3" i="296"/>
  <c r="X3" i="343"/>
  <c r="K3" i="133"/>
  <c r="L3" i="305"/>
  <c r="K3" i="86"/>
  <c r="L3" i="126"/>
  <c r="L3" i="127"/>
  <c r="K3" i="248"/>
  <c r="L3" i="237"/>
  <c r="L3" i="129"/>
  <c r="Q3" i="140"/>
  <c r="M64" i="363"/>
  <c r="K3" i="358"/>
  <c r="M3" i="315"/>
  <c r="K3" i="136"/>
  <c r="K3" i="142"/>
  <c r="L3" i="131"/>
  <c r="O3" i="256"/>
  <c r="Q3" i="300"/>
  <c r="M3" i="141"/>
  <c r="J3" i="361"/>
  <c r="L3" i="128"/>
  <c r="M202" i="363"/>
  <c r="K3" i="336"/>
  <c r="K3" i="249"/>
  <c r="K3" i="253"/>
  <c r="H2" i="139"/>
  <c r="L3" i="233"/>
  <c r="F3" i="294"/>
  <c r="M3" i="127"/>
  <c r="G126" i="123"/>
  <c r="E64" i="305"/>
  <c r="K91" i="255"/>
  <c r="D64" i="305"/>
  <c r="D91" i="255"/>
  <c r="D93" i="255" s="1"/>
  <c r="D33" i="127" s="1"/>
  <c r="C16" i="86" s="1"/>
  <c r="J91" i="255"/>
  <c r="F64" i="305"/>
  <c r="F91" i="255"/>
  <c r="F93" i="255" s="1"/>
  <c r="F33" i="127" s="1"/>
  <c r="E16" i="86" s="1"/>
  <c r="H91" i="255"/>
  <c r="H64" i="305"/>
  <c r="H54" i="86"/>
  <c r="M39" i="123"/>
  <c r="H93" i="255"/>
  <c r="H33" i="127" s="1"/>
  <c r="C91" i="255"/>
  <c r="C64" i="305"/>
  <c r="H155" i="363"/>
  <c r="F2" i="128"/>
  <c r="G2" i="123"/>
  <c r="D2" i="139"/>
  <c r="F2" i="349"/>
  <c r="F2" i="358"/>
  <c r="F2" i="144"/>
  <c r="H247" i="363"/>
  <c r="F2" i="88"/>
  <c r="F2" i="126"/>
  <c r="L3" i="256"/>
  <c r="F2" i="129"/>
  <c r="F2" i="134"/>
  <c r="F2" i="127"/>
  <c r="F2" i="253"/>
  <c r="F2" i="249"/>
  <c r="F2" i="336"/>
  <c r="F2" i="146"/>
  <c r="F2" i="237"/>
  <c r="H201" i="363"/>
  <c r="J2" i="363"/>
  <c r="H2" i="141"/>
  <c r="F2" i="133"/>
  <c r="F2" i="248"/>
  <c r="H109" i="363"/>
  <c r="F73" i="147"/>
  <c r="H63" i="363"/>
  <c r="F2" i="142"/>
  <c r="H2" i="315"/>
  <c r="F2" i="337"/>
  <c r="F2" i="343"/>
  <c r="F2" i="131"/>
  <c r="G2" i="362"/>
  <c r="F2" i="350"/>
  <c r="A3" i="335"/>
  <c r="F2" i="148"/>
  <c r="R3" i="127"/>
  <c r="M2" i="139"/>
  <c r="U3" i="127"/>
  <c r="M40" i="123"/>
  <c r="K93" i="255"/>
  <c r="K33" i="127" s="1"/>
  <c r="E39" i="123"/>
  <c r="L91" i="255"/>
  <c r="L64" i="305"/>
  <c r="J54" i="86"/>
  <c r="I40" i="123"/>
  <c r="I53" i="86"/>
  <c r="A1" i="256"/>
  <c r="A1" i="294"/>
  <c r="A1" i="350"/>
  <c r="A1" i="134"/>
  <c r="A1" i="253"/>
  <c r="A1" i="237"/>
  <c r="A1" i="131"/>
  <c r="A1" i="129"/>
  <c r="A1" i="343"/>
  <c r="A1" i="233"/>
  <c r="B101" i="100"/>
  <c r="B100" i="100"/>
  <c r="A1" i="86" s="1"/>
  <c r="B21" i="100"/>
  <c r="B2" i="100"/>
  <c r="A35" i="233"/>
  <c r="B4" i="355"/>
  <c r="J106" i="123"/>
  <c r="F106" i="123"/>
  <c r="E105" i="123"/>
  <c r="F107" i="123"/>
  <c r="K105" i="343"/>
  <c r="K15" i="126" s="1"/>
  <c r="J72" i="343"/>
  <c r="J12" i="126"/>
  <c r="Q9" i="140"/>
  <c r="A105" i="343"/>
  <c r="A15" i="126" s="1"/>
  <c r="A61" i="343"/>
  <c r="A230" i="343" s="1"/>
  <c r="A24" i="233"/>
  <c r="A1" i="355"/>
  <c r="I106" i="123"/>
  <c r="E106" i="123"/>
  <c r="H105" i="123"/>
  <c r="I107" i="123"/>
  <c r="E107" i="123"/>
  <c r="I5" i="133"/>
  <c r="O5" i="298" s="1"/>
  <c r="P24" i="140"/>
  <c r="K138" i="343"/>
  <c r="K18" i="126" s="1"/>
  <c r="E16" i="294"/>
  <c r="Q16" i="140"/>
  <c r="E13" i="294"/>
  <c r="Q13" i="140"/>
  <c r="K94" i="343"/>
  <c r="K14" i="126"/>
  <c r="E12" i="294"/>
  <c r="Q12" i="140"/>
  <c r="K72" i="343"/>
  <c r="K12" i="126"/>
  <c r="J39" i="123"/>
  <c r="B143" i="100"/>
  <c r="A1" i="301" s="1"/>
  <c r="B142" i="100"/>
  <c r="A1" i="95"/>
  <c r="B141" i="100"/>
  <c r="A1" i="300" s="1"/>
  <c r="B140" i="100"/>
  <c r="A1" i="140"/>
  <c r="B139" i="100"/>
  <c r="A1" i="298" s="1"/>
  <c r="B138" i="100"/>
  <c r="A1" i="299"/>
  <c r="B137" i="100"/>
  <c r="A1" i="137" s="1"/>
  <c r="A71" i="336"/>
  <c r="A25" i="315"/>
  <c r="A24" i="141"/>
  <c r="A77" i="128"/>
  <c r="A1" i="363"/>
  <c r="A1" i="250"/>
  <c r="A1" i="139"/>
  <c r="A1" i="148"/>
  <c r="A1" i="145"/>
  <c r="A1" i="305"/>
  <c r="A1" i="146"/>
  <c r="A1" i="249"/>
  <c r="A1" i="136"/>
  <c r="A1" i="360"/>
  <c r="A1" i="336"/>
  <c r="A1" i="316"/>
  <c r="A1" i="143"/>
  <c r="A1" i="362"/>
  <c r="A1" i="123"/>
  <c r="A1" i="361"/>
  <c r="A1" i="88"/>
  <c r="A72" i="147"/>
  <c r="A1" i="144"/>
  <c r="A1" i="314"/>
  <c r="A1" i="142"/>
  <c r="A1" i="337"/>
  <c r="A1" i="335"/>
  <c r="A1" i="147"/>
  <c r="A1" i="128"/>
  <c r="A1" i="141"/>
  <c r="A1" i="255"/>
  <c r="A1" i="315"/>
  <c r="B19" i="100"/>
  <c r="A6" i="343"/>
  <c r="A175" i="343" s="1"/>
  <c r="F32" i="86"/>
  <c r="H108" i="123" s="1"/>
  <c r="H106" i="123"/>
  <c r="D106" i="123"/>
  <c r="G105" i="123"/>
  <c r="H107" i="123"/>
  <c r="K127" i="343"/>
  <c r="K17" i="126" s="1"/>
  <c r="D16" i="294" s="1"/>
  <c r="J105" i="343"/>
  <c r="J15" i="126"/>
  <c r="E11" i="294"/>
  <c r="Q11" i="140"/>
  <c r="E7" i="294"/>
  <c r="Q7" i="140"/>
  <c r="B37" i="100"/>
  <c r="B27" i="100"/>
  <c r="B22" i="100"/>
  <c r="B16" i="100"/>
  <c r="A94" i="343"/>
  <c r="A14" i="126" s="1"/>
  <c r="A50" i="343"/>
  <c r="A219" i="343" s="1"/>
  <c r="E32" i="86"/>
  <c r="G109" i="123" s="1"/>
  <c r="G106" i="123"/>
  <c r="J105" i="123"/>
  <c r="F105" i="123"/>
  <c r="G107" i="123"/>
  <c r="E19" i="294"/>
  <c r="Q19" i="140"/>
  <c r="K160" i="343"/>
  <c r="K20" i="126" s="1"/>
  <c r="E18" i="294"/>
  <c r="Q18" i="140"/>
  <c r="E14" i="294"/>
  <c r="Q14" i="140"/>
  <c r="L6" i="126"/>
  <c r="A61" i="248"/>
  <c r="J117" i="343"/>
  <c r="J116" i="343" s="1"/>
  <c r="J16" i="126" s="1"/>
  <c r="J50" i="343"/>
  <c r="J10" i="126"/>
  <c r="L39" i="343"/>
  <c r="L9" i="126"/>
  <c r="J6" i="343"/>
  <c r="C40" i="129"/>
  <c r="G11" i="88"/>
  <c r="C11" i="88"/>
  <c r="J5" i="233"/>
  <c r="P5" i="299" s="1"/>
  <c r="F5" i="233"/>
  <c r="L24" i="126"/>
  <c r="H24" i="126"/>
  <c r="D24" i="126"/>
  <c r="I340" i="343"/>
  <c r="C171" i="343"/>
  <c r="U160" i="343"/>
  <c r="U138" i="343"/>
  <c r="U94" i="343"/>
  <c r="U72" i="343"/>
  <c r="Q61" i="343"/>
  <c r="K50" i="343"/>
  <c r="K10" i="126"/>
  <c r="U50" i="343"/>
  <c r="Q50" i="343"/>
  <c r="Q17" i="343"/>
  <c r="K6" i="343"/>
  <c r="U6" i="343"/>
  <c r="Q6" i="343"/>
  <c r="D12" i="129"/>
  <c r="C35" i="86"/>
  <c r="L53" i="123"/>
  <c r="D11" i="248"/>
  <c r="J84" i="343"/>
  <c r="J83" i="343" s="1"/>
  <c r="J13" i="126" s="1"/>
  <c r="O12" i="140" s="1"/>
  <c r="N12" i="140" s="1"/>
  <c r="L61" i="343"/>
  <c r="L11" i="126"/>
  <c r="U39" i="343"/>
  <c r="J29" i="343"/>
  <c r="L17" i="343"/>
  <c r="L7" i="126" s="1"/>
  <c r="E71" i="144"/>
  <c r="E11" i="88"/>
  <c r="E39" i="129"/>
  <c r="D38" i="86"/>
  <c r="C13" i="88"/>
  <c r="K15" i="88"/>
  <c r="H74" i="126"/>
  <c r="I18" i="126"/>
  <c r="I21" i="126" s="1"/>
  <c r="E18" i="126"/>
  <c r="E21" i="126"/>
  <c r="Q39" i="343"/>
  <c r="K28" i="343"/>
  <c r="K8" i="126"/>
  <c r="U28" i="343"/>
  <c r="F39" i="129"/>
  <c r="I11" i="88"/>
  <c r="I39" i="129"/>
  <c r="H38" i="86"/>
  <c r="A29" i="248"/>
  <c r="A78" i="248"/>
  <c r="A60" i="248"/>
  <c r="J62" i="343"/>
  <c r="J61" i="343"/>
  <c r="J11" i="126"/>
  <c r="J40" i="343"/>
  <c r="J39" i="343" s="1"/>
  <c r="J9" i="126" s="1"/>
  <c r="O8" i="140" s="1"/>
  <c r="N8" i="140" s="1"/>
  <c r="J18" i="343"/>
  <c r="J17" i="343" s="1"/>
  <c r="D11" i="88"/>
  <c r="I15" i="123"/>
  <c r="C36" i="142"/>
  <c r="C15" i="88"/>
  <c r="L49" i="88"/>
  <c r="J65" i="248"/>
  <c r="H71" i="144"/>
  <c r="L11" i="88"/>
  <c r="C14" i="88"/>
  <c r="F36" i="142"/>
  <c r="H75" i="248"/>
  <c r="D75" i="248"/>
  <c r="E65" i="248"/>
  <c r="E95" i="248" s="1"/>
  <c r="K42" i="123"/>
  <c r="G42" i="123"/>
  <c r="M42" i="123"/>
  <c r="H42" i="123"/>
  <c r="I17" i="337"/>
  <c r="H45" i="136"/>
  <c r="H27" i="136"/>
  <c r="D27" i="136"/>
  <c r="E33" i="337"/>
  <c r="O22" i="143"/>
  <c r="A42" i="316"/>
  <c r="A47" i="316"/>
  <c r="E60" i="316"/>
  <c r="K34" i="144"/>
  <c r="K71" i="144" s="1"/>
  <c r="G34" i="144"/>
  <c r="G71" i="144" s="1"/>
  <c r="C34" i="144"/>
  <c r="C71" i="144"/>
  <c r="H27" i="249"/>
  <c r="D27" i="249"/>
  <c r="D47" i="249" s="1"/>
  <c r="A19" i="316"/>
  <c r="A24" i="316"/>
  <c r="K25" i="316"/>
  <c r="K59" i="316" s="1"/>
  <c r="C25" i="316"/>
  <c r="O12" i="143"/>
  <c r="O24" i="143" s="1"/>
  <c r="I45" i="136"/>
  <c r="I46" i="136" s="1"/>
  <c r="E45" i="136"/>
  <c r="E46" i="136" s="1"/>
  <c r="J45" i="249"/>
  <c r="J47" i="249" s="1"/>
  <c r="F45" i="249"/>
  <c r="J52" i="316"/>
  <c r="F59" i="316"/>
  <c r="H100" i="146"/>
  <c r="D100" i="146"/>
  <c r="I98" i="146"/>
  <c r="E98" i="146"/>
  <c r="H82" i="146"/>
  <c r="K66" i="146"/>
  <c r="G66" i="146"/>
  <c r="K46" i="146"/>
  <c r="G46" i="146"/>
  <c r="J66" i="146"/>
  <c r="F66" i="146"/>
  <c r="G37" i="148"/>
  <c r="O32" i="300"/>
  <c r="N28" i="300"/>
  <c r="N32" i="300" s="1"/>
  <c r="J77" i="358"/>
  <c r="J97" i="358" s="1"/>
  <c r="F77" i="358"/>
  <c r="O15" i="139"/>
  <c r="I60" i="253"/>
  <c r="D79" i="253"/>
  <c r="C60" i="86" s="1"/>
  <c r="G79" i="253"/>
  <c r="G60" i="253"/>
  <c r="K60" i="253"/>
  <c r="K59" i="86" s="1"/>
  <c r="J14" i="253"/>
  <c r="J15" i="253" s="1"/>
  <c r="H27" i="253"/>
  <c r="F22" i="253"/>
  <c r="F27" i="253"/>
  <c r="I10" i="253"/>
  <c r="I15" i="253"/>
  <c r="E35" i="253"/>
  <c r="D64" i="86" s="1"/>
  <c r="H46" i="253"/>
  <c r="E65" i="86"/>
  <c r="D10" i="253"/>
  <c r="I35" i="253"/>
  <c r="I36" i="253" s="1"/>
  <c r="E57" i="253"/>
  <c r="E60" i="253"/>
  <c r="D59" i="86" s="1"/>
  <c r="I17" i="253"/>
  <c r="I22" i="253" s="1"/>
  <c r="I27" i="253" s="1"/>
  <c r="D30" i="253"/>
  <c r="D31" i="253" s="1"/>
  <c r="D36" i="253" s="1"/>
  <c r="C11" i="253"/>
  <c r="C14" i="253"/>
  <c r="M126" i="123"/>
  <c r="J62" i="86"/>
  <c r="C59" i="316"/>
  <c r="C52" i="316"/>
  <c r="C10" i="294"/>
  <c r="O10" i="140"/>
  <c r="N10" i="140" s="1"/>
  <c r="Q10" i="140"/>
  <c r="Q3" i="127"/>
  <c r="L2" i="139"/>
  <c r="P3" i="233"/>
  <c r="D17" i="294"/>
  <c r="P17" i="140"/>
  <c r="C11" i="294"/>
  <c r="O11" i="140"/>
  <c r="N11" i="140" s="1"/>
  <c r="A1" i="133"/>
  <c r="B8" i="355"/>
  <c r="C4" i="355"/>
  <c r="P33" i="137"/>
  <c r="J16" i="86"/>
  <c r="D7" i="294"/>
  <c r="P7" i="140"/>
  <c r="C12" i="294"/>
  <c r="Q23" i="140"/>
  <c r="J6" i="126"/>
  <c r="E5" i="294"/>
  <c r="Q5" i="140"/>
  <c r="V3" i="127"/>
  <c r="U3" i="233"/>
  <c r="C14" i="294"/>
  <c r="O14" i="140"/>
  <c r="N14" i="140" s="1"/>
  <c r="D13" i="294"/>
  <c r="P13" i="140"/>
  <c r="E2" i="305"/>
  <c r="F2" i="362"/>
  <c r="E2" i="255"/>
  <c r="G2" i="141"/>
  <c r="E2" i="233"/>
  <c r="G247" i="363"/>
  <c r="E2" i="142"/>
  <c r="F2" i="123"/>
  <c r="G109" i="363"/>
  <c r="F2" i="361"/>
  <c r="G2" i="314"/>
  <c r="E2" i="249"/>
  <c r="C2" i="148"/>
  <c r="E2" i="248"/>
  <c r="G155" i="363"/>
  <c r="E2" i="126"/>
  <c r="G201" i="363"/>
  <c r="E2" i="337"/>
  <c r="G63" i="363"/>
  <c r="E2" i="146"/>
  <c r="E73" i="147"/>
  <c r="E2" i="343"/>
  <c r="E2" i="134"/>
  <c r="E2" i="144"/>
  <c r="E2" i="88"/>
  <c r="E2" i="358"/>
  <c r="E2" i="131"/>
  <c r="E2" i="136"/>
  <c r="E2" i="253"/>
  <c r="I2" i="363"/>
  <c r="G2" i="315"/>
  <c r="E2" i="237"/>
  <c r="E2" i="336"/>
  <c r="E2" i="349"/>
  <c r="K3" i="256"/>
  <c r="E2" i="301"/>
  <c r="E2" i="133"/>
  <c r="E2" i="350"/>
  <c r="E2" i="128"/>
  <c r="D2" i="86"/>
  <c r="E2" i="147"/>
  <c r="E2" i="129"/>
  <c r="E2" i="316"/>
  <c r="E2" i="127"/>
  <c r="C93" i="255"/>
  <c r="C33" i="127"/>
  <c r="B16" i="86" s="1"/>
  <c r="I64" i="86"/>
  <c r="H64" i="86"/>
  <c r="H126" i="123"/>
  <c r="F59" i="86"/>
  <c r="K6" i="126"/>
  <c r="P9" i="140"/>
  <c r="E8" i="294"/>
  <c r="Q8" i="140"/>
  <c r="P16" i="140"/>
  <c r="D11" i="294"/>
  <c r="P11" i="140"/>
  <c r="O3" i="233"/>
  <c r="K2" i="139"/>
  <c r="P3" i="127"/>
  <c r="L93" i="255"/>
  <c r="L33" i="127" s="1"/>
  <c r="G16" i="86"/>
  <c r="K126" i="123"/>
  <c r="H59" i="86"/>
  <c r="I59" i="86"/>
  <c r="B62" i="86"/>
  <c r="C15" i="253"/>
  <c r="F60" i="86"/>
  <c r="J53" i="86"/>
  <c r="E38" i="86"/>
  <c r="O9" i="140"/>
  <c r="N9" i="140" s="1"/>
  <c r="L3" i="296"/>
  <c r="L202" i="363"/>
  <c r="J3" i="248"/>
  <c r="P3" i="298"/>
  <c r="J3" i="316"/>
  <c r="N3" i="256"/>
  <c r="P3" i="137"/>
  <c r="J3" i="136"/>
  <c r="J3" i="349"/>
  <c r="K3" i="343"/>
  <c r="L3" i="123"/>
  <c r="I3" i="361"/>
  <c r="L248" i="363"/>
  <c r="K3" i="255"/>
  <c r="J3" i="146"/>
  <c r="K3" i="305"/>
  <c r="J74" i="147"/>
  <c r="P3" i="140"/>
  <c r="L3" i="314"/>
  <c r="J3" i="336"/>
  <c r="P3" i="299"/>
  <c r="J3" i="253"/>
  <c r="J3" i="147"/>
  <c r="K3" i="88"/>
  <c r="I3" i="362"/>
  <c r="J3" i="249"/>
  <c r="W3" i="343"/>
  <c r="L64" i="363"/>
  <c r="L3" i="315"/>
  <c r="K3" i="131"/>
  <c r="F3" i="139"/>
  <c r="L3" i="141"/>
  <c r="K3" i="129"/>
  <c r="K3" i="126"/>
  <c r="K3" i="237"/>
  <c r="L156" i="363"/>
  <c r="K3" i="128"/>
  <c r="J3" i="233"/>
  <c r="J3" i="350"/>
  <c r="J3" i="133"/>
  <c r="D3" i="294"/>
  <c r="K3" i="127"/>
  <c r="J3" i="358"/>
  <c r="J3" i="301"/>
  <c r="J3" i="86"/>
  <c r="O3" i="95"/>
  <c r="K3" i="337"/>
  <c r="P3" i="300"/>
  <c r="J3" i="144"/>
  <c r="J3" i="142"/>
  <c r="J3" i="134"/>
  <c r="L110" i="363"/>
  <c r="N3" i="127"/>
  <c r="I2" i="139"/>
  <c r="M3" i="233"/>
  <c r="G3" i="294"/>
  <c r="D14" i="294"/>
  <c r="P14" i="140"/>
  <c r="O5" i="140"/>
  <c r="D5" i="294"/>
  <c r="P5" i="140"/>
  <c r="N5" i="140"/>
  <c r="A318" i="343"/>
  <c r="A19" i="126"/>
  <c r="A18" i="294" s="1"/>
  <c r="A37" i="294" s="1"/>
  <c r="A16" i="126"/>
  <c r="A15" i="294" s="1"/>
  <c r="A34" i="294" s="1"/>
  <c r="A285" i="343"/>
  <c r="A197" i="343"/>
  <c r="A8" i="126"/>
  <c r="A263" i="343"/>
  <c r="A7" i="233"/>
  <c r="E2" i="246" s="1"/>
  <c r="A29" i="233"/>
  <c r="A18" i="233"/>
  <c r="A18" i="299" s="1"/>
  <c r="A36" i="299" s="1"/>
  <c r="A27" i="233"/>
  <c r="A17" i="126"/>
  <c r="A296" i="343"/>
  <c r="A11" i="126"/>
  <c r="A29" i="126" s="1"/>
  <c r="A28" i="140" s="1"/>
  <c r="A26" i="233"/>
  <c r="A12" i="233"/>
  <c r="A12" i="299" s="1"/>
  <c r="A30" i="299" s="1"/>
  <c r="A34" i="233"/>
  <c r="A19" i="233"/>
  <c r="A19" i="299" s="1"/>
  <c r="A37" i="299" s="1"/>
  <c r="A14" i="140"/>
  <c r="A14" i="294"/>
  <c r="A33" i="294" s="1"/>
  <c r="A33" i="126"/>
  <c r="A32" i="140" s="1"/>
  <c r="A18" i="126"/>
  <c r="A36" i="126" s="1"/>
  <c r="A307" i="343"/>
  <c r="A17" i="233"/>
  <c r="A6" i="233"/>
  <c r="D2" i="246" s="1"/>
  <c r="A274" i="343"/>
  <c r="A20" i="126"/>
  <c r="A6" i="126"/>
  <c r="A5" i="294"/>
  <c r="A24" i="294" s="1"/>
  <c r="A10" i="126"/>
  <c r="A9" i="294" s="1"/>
  <c r="A28" i="294" s="1"/>
  <c r="D39" i="133"/>
  <c r="G33" i="133"/>
  <c r="E31" i="133"/>
  <c r="K29" i="133"/>
  <c r="Q29" i="298" s="1"/>
  <c r="D22" i="133"/>
  <c r="H18" i="133"/>
  <c r="C16" i="133"/>
  <c r="J10" i="133"/>
  <c r="K8" i="133"/>
  <c r="Q8" i="298" s="1"/>
  <c r="J6" i="133"/>
  <c r="P6" i="298" s="1"/>
  <c r="C29" i="133"/>
  <c r="H8" i="133"/>
  <c r="E33" i="133"/>
  <c r="J20" i="133"/>
  <c r="I15" i="133"/>
  <c r="O15" i="298" s="1"/>
  <c r="O16" i="298"/>
  <c r="N16" i="298" s="1"/>
  <c r="D16" i="133"/>
  <c r="G6" i="133"/>
  <c r="G5" i="133" s="1"/>
  <c r="A7" i="126"/>
  <c r="A186" i="343"/>
  <c r="A23" i="233"/>
  <c r="A7" i="294"/>
  <c r="A26" i="294" s="1"/>
  <c r="A36" i="233"/>
  <c r="A15" i="140"/>
  <c r="A34" i="126"/>
  <c r="A33" i="140" s="1"/>
  <c r="A37" i="126"/>
  <c r="A36" i="140" s="1"/>
  <c r="A18" i="140"/>
  <c r="A16" i="233"/>
  <c r="A8" i="233"/>
  <c r="A8" i="299" s="1"/>
  <c r="A26" i="299" s="1"/>
  <c r="A35" i="126"/>
  <c r="A34" i="140" s="1"/>
  <c r="A16" i="140"/>
  <c r="A16" i="294"/>
  <c r="A35" i="294"/>
  <c r="A9" i="140"/>
  <c r="A24" i="126"/>
  <c r="A23" i="140" s="1"/>
  <c r="A5" i="140"/>
  <c r="A38" i="126"/>
  <c r="A37" i="140" s="1"/>
  <c r="A19" i="294"/>
  <c r="A38" i="294" s="1"/>
  <c r="A19" i="140"/>
  <c r="A17" i="140"/>
  <c r="A17" i="294"/>
  <c r="A36" i="294" s="1"/>
  <c r="A35" i="140"/>
  <c r="D6" i="133"/>
  <c r="D5" i="133" s="1"/>
  <c r="P10" i="298"/>
  <c r="A6" i="140"/>
  <c r="A25" i="126"/>
  <c r="A24" i="140" s="1"/>
  <c r="A6" i="294"/>
  <c r="A25" i="294"/>
  <c r="A10" i="140"/>
  <c r="A10" i="294"/>
  <c r="A29" i="294"/>
  <c r="A11" i="233"/>
  <c r="A11" i="299" s="1"/>
  <c r="A29" i="299" s="1"/>
  <c r="A31" i="233"/>
  <c r="A28" i="233"/>
  <c r="A6" i="299"/>
  <c r="A24" i="299" s="1"/>
  <c r="O23" i="299"/>
  <c r="N23" i="299" s="1"/>
  <c r="A14" i="233"/>
  <c r="A14" i="299" s="1"/>
  <c r="A32" i="299" s="1"/>
  <c r="A25" i="233"/>
  <c r="G23" i="233"/>
  <c r="C25" i="233"/>
  <c r="E5" i="233"/>
  <c r="K25" i="233"/>
  <c r="Q25" i="299" s="1"/>
  <c r="H23" i="233"/>
  <c r="I8" i="233"/>
  <c r="O8" i="299" s="1"/>
  <c r="N8" i="299" s="1"/>
  <c r="C44" i="133"/>
  <c r="D43" i="133"/>
  <c r="D33" i="133"/>
  <c r="D32" i="133" s="1"/>
  <c r="D150" i="351"/>
  <c r="D23" i="133"/>
  <c r="G47" i="131"/>
  <c r="G50" i="131" s="1"/>
  <c r="F38" i="131"/>
  <c r="F40" i="131" s="1"/>
  <c r="F44" i="86"/>
  <c r="H42" i="86"/>
  <c r="E42" i="86"/>
  <c r="F6" i="233"/>
  <c r="F20" i="233" s="1"/>
  <c r="F43" i="133"/>
  <c r="G38" i="133"/>
  <c r="H39" i="133"/>
  <c r="H38" i="133" s="1"/>
  <c r="F33" i="133"/>
  <c r="F28" i="133"/>
  <c r="G12" i="133"/>
  <c r="F12" i="133"/>
  <c r="D12" i="133"/>
  <c r="D38" i="131"/>
  <c r="D40" i="131" s="1"/>
  <c r="D47" i="131"/>
  <c r="D50" i="131" s="1"/>
  <c r="D51" i="131" s="1"/>
  <c r="C6" i="86"/>
  <c r="F48" i="146"/>
  <c r="F104" i="146"/>
  <c r="G14" i="146"/>
  <c r="H14" i="146"/>
  <c r="F47" i="249"/>
  <c r="H47" i="249"/>
  <c r="H46" i="136"/>
  <c r="G46" i="136"/>
  <c r="F46" i="136"/>
  <c r="D46" i="136"/>
  <c r="G68" i="248"/>
  <c r="G97" i="358"/>
  <c r="F13" i="86"/>
  <c r="G13" i="86"/>
  <c r="H68" i="248"/>
  <c r="F68" i="248"/>
  <c r="E13" i="86"/>
  <c r="F97" i="358"/>
  <c r="H11" i="86"/>
  <c r="G11" i="86"/>
  <c r="F11" i="86"/>
  <c r="E11" i="86"/>
  <c r="J41" i="123"/>
  <c r="H6" i="86"/>
  <c r="I41" i="123"/>
  <c r="G22" i="127"/>
  <c r="G32" i="88"/>
  <c r="H17" i="88"/>
  <c r="G49" i="123"/>
  <c r="H41" i="123" s="1"/>
  <c r="E6" i="86"/>
  <c r="E10" i="86"/>
  <c r="I93" i="123"/>
  <c r="H93" i="123"/>
  <c r="H46" i="123"/>
  <c r="J93" i="123"/>
  <c r="I46" i="123"/>
  <c r="J38" i="123" s="1"/>
  <c r="J46" i="123"/>
  <c r="F6" i="86"/>
  <c r="J17" i="88"/>
  <c r="J45" i="123"/>
  <c r="J54" i="123"/>
  <c r="J10" i="123"/>
  <c r="I22" i="127"/>
  <c r="J92" i="123"/>
  <c r="H5" i="86"/>
  <c r="I18" i="88"/>
  <c r="I45" i="123"/>
  <c r="H18" i="88"/>
  <c r="H22" i="127"/>
  <c r="I54" i="123"/>
  <c r="I10" i="123"/>
  <c r="H38" i="88"/>
  <c r="G5" i="86"/>
  <c r="I17" i="88"/>
  <c r="H54" i="123"/>
  <c r="F5" i="86"/>
  <c r="H45" i="123"/>
  <c r="G18" i="88"/>
  <c r="I92" i="123"/>
  <c r="G17" i="88"/>
  <c r="G92" i="123"/>
  <c r="G45" i="123"/>
  <c r="G54" i="123"/>
  <c r="F18" i="88"/>
  <c r="H92" i="123"/>
  <c r="F22" i="127"/>
  <c r="C17" i="86"/>
  <c r="E68" i="248"/>
  <c r="D13" i="86"/>
  <c r="D11" i="86"/>
  <c r="F97" i="123"/>
  <c r="F41" i="123"/>
  <c r="C15" i="86"/>
  <c r="D46" i="88"/>
  <c r="D36" i="127"/>
  <c r="E41" i="123"/>
  <c r="E46" i="123"/>
  <c r="E17" i="88"/>
  <c r="E45" i="123"/>
  <c r="D22" i="127"/>
  <c r="C5" i="86"/>
  <c r="F92" i="123"/>
  <c r="E54" i="123"/>
  <c r="E10" i="123"/>
  <c r="D18" i="88"/>
  <c r="B54" i="86"/>
  <c r="B13" i="86"/>
  <c r="B11" i="86"/>
  <c r="D45" i="123"/>
  <c r="E92" i="123"/>
  <c r="G8" i="88"/>
  <c r="G54" i="86"/>
  <c r="F54" i="86"/>
  <c r="E54" i="86"/>
  <c r="J97" i="123"/>
  <c r="I97" i="123"/>
  <c r="H97" i="123"/>
  <c r="G60" i="127"/>
  <c r="G35" i="88"/>
  <c r="G41" i="123"/>
  <c r="H38" i="123"/>
  <c r="F10" i="86"/>
  <c r="H86" i="123"/>
  <c r="H44" i="123"/>
  <c r="H94" i="123"/>
  <c r="I38" i="123"/>
  <c r="I116" i="123"/>
  <c r="H36" i="237"/>
  <c r="H29" i="237"/>
  <c r="I35" i="88"/>
  <c r="I32" i="88"/>
  <c r="I8" i="88"/>
  <c r="I60" i="127"/>
  <c r="H35" i="88"/>
  <c r="H60" i="127"/>
  <c r="H32" i="88"/>
  <c r="H19" i="88"/>
  <c r="H8" i="88"/>
  <c r="J116" i="123"/>
  <c r="I36" i="237"/>
  <c r="H10" i="86"/>
  <c r="J44" i="123"/>
  <c r="J37" i="123"/>
  <c r="J43" i="123"/>
  <c r="J11" i="123" s="1"/>
  <c r="J103" i="123" s="1"/>
  <c r="I43" i="123"/>
  <c r="I11" i="123" s="1"/>
  <c r="I103" i="123" s="1"/>
  <c r="I44" i="123"/>
  <c r="I36" i="123"/>
  <c r="I9" i="123" s="1"/>
  <c r="H43" i="123"/>
  <c r="H11" i="123"/>
  <c r="H103" i="123" s="1"/>
  <c r="I37" i="123"/>
  <c r="F60" i="127"/>
  <c r="F8" i="88"/>
  <c r="F37" i="88"/>
  <c r="G37" i="88" s="1"/>
  <c r="H37" i="88" s="1"/>
  <c r="F35" i="88"/>
  <c r="F32" i="88"/>
  <c r="G86" i="123"/>
  <c r="H37" i="123"/>
  <c r="G43" i="123"/>
  <c r="G11" i="123"/>
  <c r="G103" i="123" s="1"/>
  <c r="G44" i="123"/>
  <c r="H36" i="123"/>
  <c r="H9" i="123"/>
  <c r="C18" i="86"/>
  <c r="E87" i="123"/>
  <c r="E131" i="123"/>
  <c r="D54" i="86"/>
  <c r="G97" i="123"/>
  <c r="F27" i="315"/>
  <c r="D7" i="88"/>
  <c r="E121" i="123" s="1"/>
  <c r="E116" i="123"/>
  <c r="D36" i="237"/>
  <c r="D37" i="88"/>
  <c r="D8" i="88"/>
  <c r="D35" i="88"/>
  <c r="D60" i="127"/>
  <c r="D19" i="88"/>
  <c r="D32" i="88"/>
  <c r="D38" i="127"/>
  <c r="D42" i="127"/>
  <c r="E43" i="123"/>
  <c r="E11" i="123"/>
  <c r="E103" i="123"/>
  <c r="E44" i="123"/>
  <c r="C10" i="86"/>
  <c r="C19" i="86" s="1"/>
  <c r="C22" i="86" s="1"/>
  <c r="C24" i="86" s="1"/>
  <c r="E97" i="123"/>
  <c r="E37" i="123"/>
  <c r="H91" i="123"/>
  <c r="H127" i="123"/>
  <c r="H149" i="351"/>
  <c r="J26" i="141"/>
  <c r="J86" i="123"/>
  <c r="J36" i="123"/>
  <c r="J9" i="123"/>
  <c r="H130" i="123"/>
  <c r="G130" i="123"/>
  <c r="E8" i="123"/>
  <c r="D44" i="127"/>
  <c r="D46" i="127"/>
  <c r="D57" i="128" s="1"/>
  <c r="D62" i="128" s="1"/>
  <c r="D70" i="128" s="1"/>
  <c r="D81" i="128" s="1"/>
  <c r="E86" i="123"/>
  <c r="E127" i="123"/>
  <c r="F26" i="141"/>
  <c r="D149" i="351"/>
  <c r="J130" i="123"/>
  <c r="E130" i="123"/>
  <c r="E88" i="123"/>
  <c r="E132" i="123" s="1"/>
  <c r="E38" i="131"/>
  <c r="E40" i="131"/>
  <c r="D45" i="86" s="1"/>
  <c r="E47" i="131"/>
  <c r="E50" i="131"/>
  <c r="E51" i="131"/>
  <c r="D42" i="86"/>
  <c r="E12" i="129"/>
  <c r="E13" i="88" s="1"/>
  <c r="D35" i="86"/>
  <c r="E35" i="237"/>
  <c r="I55" i="123"/>
  <c r="E36" i="142"/>
  <c r="D53" i="86"/>
  <c r="D36" i="86"/>
  <c r="E34" i="129"/>
  <c r="D37" i="86" s="1"/>
  <c r="E15" i="123"/>
  <c r="D38" i="88"/>
  <c r="E55" i="123"/>
  <c r="E84" i="123" s="1"/>
  <c r="F55" i="123"/>
  <c r="F84" i="123" s="1"/>
  <c r="D25" i="129"/>
  <c r="C53" i="86"/>
  <c r="D95" i="248"/>
  <c r="D15" i="88"/>
  <c r="D13" i="88"/>
  <c r="C37" i="86"/>
  <c r="D14" i="88"/>
  <c r="F15" i="123"/>
  <c r="D39" i="129"/>
  <c r="C38" i="86" s="1"/>
  <c r="F5" i="123"/>
  <c r="E23" i="88"/>
  <c r="E14" i="88"/>
  <c r="L63" i="126" l="1"/>
  <c r="K27" i="86" s="1"/>
  <c r="M112" i="123" s="1"/>
  <c r="K49" i="316"/>
  <c r="K52" i="316" s="1"/>
  <c r="J36" i="142"/>
  <c r="K36" i="142"/>
  <c r="K48" i="129"/>
  <c r="J39" i="86" s="1"/>
  <c r="K11" i="88"/>
  <c r="J48" i="129"/>
  <c r="I39" i="86" s="1"/>
  <c r="J11" i="88"/>
  <c r="J32" i="86"/>
  <c r="L107" i="123"/>
  <c r="K74" i="126"/>
  <c r="F60" i="316"/>
  <c r="G32" i="86"/>
  <c r="I110" i="123" s="1"/>
  <c r="G37" i="86"/>
  <c r="H40" i="129"/>
  <c r="L40" i="129"/>
  <c r="L15" i="88"/>
  <c r="K37" i="86"/>
  <c r="L24" i="129"/>
  <c r="K36" i="86" s="1"/>
  <c r="K95" i="248"/>
  <c r="J95" i="248"/>
  <c r="J35" i="237"/>
  <c r="J12" i="129"/>
  <c r="J14" i="88" s="1"/>
  <c r="K15" i="123"/>
  <c r="K35" i="237"/>
  <c r="K12" i="129"/>
  <c r="K14" i="88" s="1"/>
  <c r="L15" i="123"/>
  <c r="I38" i="88"/>
  <c r="G12" i="129"/>
  <c r="F35" i="86" s="1"/>
  <c r="K55" i="123"/>
  <c r="H84" i="123" s="1"/>
  <c r="H55" i="123"/>
  <c r="G19" i="88"/>
  <c r="G38" i="88"/>
  <c r="I35" i="237"/>
  <c r="I29" i="237" s="1"/>
  <c r="I32" i="237" s="1"/>
  <c r="I14" i="237" s="1"/>
  <c r="I18" i="237" s="1"/>
  <c r="H49" i="86" s="1"/>
  <c r="J15" i="123"/>
  <c r="H32" i="237"/>
  <c r="H14" i="237" s="1"/>
  <c r="H18" i="237" s="1"/>
  <c r="G49" i="86" s="1"/>
  <c r="K13" i="88"/>
  <c r="I2" i="246"/>
  <c r="C45" i="249"/>
  <c r="C47" i="249" s="1"/>
  <c r="E47" i="249"/>
  <c r="C60" i="316"/>
  <c r="B28" i="86"/>
  <c r="B32" i="86" s="1"/>
  <c r="D109" i="123" s="1"/>
  <c r="C32" i="86"/>
  <c r="E110" i="123" s="1"/>
  <c r="E109" i="123"/>
  <c r="E108" i="123"/>
  <c r="D74" i="126"/>
  <c r="D36" i="248"/>
  <c r="L48" i="337"/>
  <c r="I45" i="337"/>
  <c r="F47" i="337"/>
  <c r="F48" i="337" s="1"/>
  <c r="C20" i="233"/>
  <c r="H20" i="233"/>
  <c r="F38" i="233"/>
  <c r="F39" i="233" s="1"/>
  <c r="F45" i="233" s="1"/>
  <c r="D38" i="233"/>
  <c r="G57" i="145"/>
  <c r="F57" i="145"/>
  <c r="E57" i="145"/>
  <c r="I35" i="145"/>
  <c r="Q36" i="300"/>
  <c r="O36" i="300"/>
  <c r="J60" i="316"/>
  <c r="P36" i="300"/>
  <c r="K107" i="123"/>
  <c r="I32" i="86"/>
  <c r="K108" i="123" s="1"/>
  <c r="J74" i="126"/>
  <c r="A12" i="126"/>
  <c r="A13" i="294"/>
  <c r="A32" i="294" s="1"/>
  <c r="A13" i="140"/>
  <c r="A32" i="126"/>
  <c r="A31" i="140" s="1"/>
  <c r="A9" i="126"/>
  <c r="A208" i="343"/>
  <c r="E46" i="88"/>
  <c r="E36" i="127"/>
  <c r="G27" i="315" s="1"/>
  <c r="D17" i="86"/>
  <c r="D18" i="86" s="1"/>
  <c r="J38" i="133"/>
  <c r="P38" i="298" s="1"/>
  <c r="G20" i="233"/>
  <c r="H38" i="233"/>
  <c r="I38" i="233"/>
  <c r="P38" i="299"/>
  <c r="G38" i="233"/>
  <c r="E38" i="233"/>
  <c r="D20" i="233"/>
  <c r="C2" i="246"/>
  <c r="K2" i="246"/>
  <c r="A9" i="299"/>
  <c r="A27" i="299" s="1"/>
  <c r="L2" i="246"/>
  <c r="Q2" i="246"/>
  <c r="P2" i="246"/>
  <c r="A7" i="299"/>
  <c r="A25" i="299" s="1"/>
  <c r="F2" i="246"/>
  <c r="D6" i="86"/>
  <c r="E18" i="88"/>
  <c r="E22" i="127"/>
  <c r="E60" i="127" s="1"/>
  <c r="G26" i="141" s="1"/>
  <c r="F46" i="123"/>
  <c r="F17" i="88"/>
  <c r="F93" i="123"/>
  <c r="G93" i="123"/>
  <c r="F54" i="123"/>
  <c r="F10" i="123" s="1"/>
  <c r="E38" i="88"/>
  <c r="G37" i="123"/>
  <c r="F43" i="123"/>
  <c r="F11" i="123" s="1"/>
  <c r="F103" i="123" s="1"/>
  <c r="F37" i="123"/>
  <c r="E5" i="133"/>
  <c r="E63" i="126"/>
  <c r="E85" i="126" s="1"/>
  <c r="E340" i="343"/>
  <c r="E341" i="343" s="1"/>
  <c r="E39" i="126"/>
  <c r="E40" i="126" s="1"/>
  <c r="F57" i="123" s="1"/>
  <c r="A10" i="299"/>
  <c r="A28" i="299" s="1"/>
  <c r="H37" i="148"/>
  <c r="F99" i="123"/>
  <c r="J37" i="148"/>
  <c r="J46" i="146"/>
  <c r="I48" i="146"/>
  <c r="I102" i="146" s="1"/>
  <c r="I103" i="146" s="1"/>
  <c r="I104" i="146"/>
  <c r="J48" i="146"/>
  <c r="L36" i="131"/>
  <c r="K44" i="86" s="1"/>
  <c r="L27" i="131"/>
  <c r="K43" i="86" s="1"/>
  <c r="F63" i="95"/>
  <c r="K17" i="131"/>
  <c r="J42" i="86" s="1"/>
  <c r="J27" i="131"/>
  <c r="I43" i="86" s="1"/>
  <c r="J36" i="131"/>
  <c r="I44" i="86" s="1"/>
  <c r="L48" i="131"/>
  <c r="I37" i="88"/>
  <c r="J49" i="88"/>
  <c r="J45" i="131"/>
  <c r="K36" i="131"/>
  <c r="J44" i="86" s="1"/>
  <c r="J48" i="131"/>
  <c r="K45" i="131"/>
  <c r="P52" i="95"/>
  <c r="P54" i="95" s="1"/>
  <c r="P64" i="95" s="1"/>
  <c r="L46" i="131"/>
  <c r="K46" i="131"/>
  <c r="L17" i="131"/>
  <c r="L38" i="131" s="1"/>
  <c r="J17" i="131"/>
  <c r="I42" i="86" s="1"/>
  <c r="L45" i="131"/>
  <c r="O26" i="140"/>
  <c r="N26" i="140" s="1"/>
  <c r="C8" i="294"/>
  <c r="C9" i="294"/>
  <c r="K340" i="343"/>
  <c r="Q28" i="140"/>
  <c r="E10" i="294"/>
  <c r="P38" i="140"/>
  <c r="K39" i="126"/>
  <c r="Q27" i="140"/>
  <c r="E9" i="294"/>
  <c r="L39" i="126"/>
  <c r="L340" i="343"/>
  <c r="Q38" i="140"/>
  <c r="D9" i="294"/>
  <c r="O23" i="140"/>
  <c r="J39" i="126"/>
  <c r="C5" i="294"/>
  <c r="J340" i="343"/>
  <c r="J35" i="86"/>
  <c r="K25" i="129"/>
  <c r="L55" i="123"/>
  <c r="I84" i="123" s="1"/>
  <c r="L38" i="88"/>
  <c r="L35" i="237"/>
  <c r="L12" i="129"/>
  <c r="M55" i="123"/>
  <c r="J84" i="123" s="1"/>
  <c r="M15" i="123"/>
  <c r="H46" i="88"/>
  <c r="H36" i="127"/>
  <c r="H17" i="86"/>
  <c r="G17" i="86"/>
  <c r="G18" i="86" s="1"/>
  <c r="I87" i="123" s="1"/>
  <c r="I131" i="123" s="1"/>
  <c r="J27" i="315"/>
  <c r="I26" i="141"/>
  <c r="F46" i="88"/>
  <c r="F39" i="88" s="1"/>
  <c r="G7" i="123" s="1"/>
  <c r="G117" i="123" s="1"/>
  <c r="J25" i="129"/>
  <c r="N26" i="299"/>
  <c r="N38" i="299" s="1"/>
  <c r="O38" i="299"/>
  <c r="Q38" i="299"/>
  <c r="K38" i="233"/>
  <c r="J38" i="233"/>
  <c r="E20" i="233"/>
  <c r="H32" i="133"/>
  <c r="G32" i="133"/>
  <c r="G48" i="133" s="1"/>
  <c r="F42" i="133"/>
  <c r="D38" i="133"/>
  <c r="I38" i="133"/>
  <c r="O38" i="298" s="1"/>
  <c r="N38" i="298" s="1"/>
  <c r="C9" i="133"/>
  <c r="H42" i="133"/>
  <c r="E19" i="133"/>
  <c r="K5" i="133"/>
  <c r="Q5" i="298" s="1"/>
  <c r="D15" i="133"/>
  <c r="G42" i="133"/>
  <c r="E38" i="133"/>
  <c r="C19" i="133"/>
  <c r="G19" i="133"/>
  <c r="D19" i="133"/>
  <c r="K38" i="133"/>
  <c r="Q38" i="298" s="1"/>
  <c r="C38" i="133"/>
  <c r="D42" i="133"/>
  <c r="I32" i="133"/>
  <c r="O32" i="298" s="1"/>
  <c r="N32" i="298" s="1"/>
  <c r="H15" i="133"/>
  <c r="C32" i="133"/>
  <c r="F19" i="133"/>
  <c r="H19" i="133"/>
  <c r="H9" i="133"/>
  <c r="C42" i="133"/>
  <c r="K19" i="133"/>
  <c r="Q19" i="298" s="1"/>
  <c r="C28" i="133"/>
  <c r="D28" i="133"/>
  <c r="D9" i="133"/>
  <c r="K42" i="133"/>
  <c r="Q42" i="298" s="1"/>
  <c r="J28" i="133"/>
  <c r="K9" i="133"/>
  <c r="Q9" i="298" s="1"/>
  <c r="I9" i="133"/>
  <c r="O9" i="298" s="1"/>
  <c r="N9" i="298" s="1"/>
  <c r="F15" i="133"/>
  <c r="F9" i="133"/>
  <c r="F32" i="133"/>
  <c r="K28" i="133"/>
  <c r="Q28" i="298" s="1"/>
  <c r="K32" i="133"/>
  <c r="Q32" i="298" s="1"/>
  <c r="K15" i="133"/>
  <c r="Q15" i="298" s="1"/>
  <c r="J32" i="133"/>
  <c r="P32" i="298" s="1"/>
  <c r="J15" i="133"/>
  <c r="P15" i="298" s="1"/>
  <c r="I42" i="133"/>
  <c r="O42" i="298" s="1"/>
  <c r="N42" i="298" s="1"/>
  <c r="H28" i="133"/>
  <c r="G15" i="133"/>
  <c r="E15" i="133"/>
  <c r="G9" i="133"/>
  <c r="H5" i="133"/>
  <c r="J9" i="133"/>
  <c r="P9" i="298" s="1"/>
  <c r="E28" i="133"/>
  <c r="I19" i="133"/>
  <c r="O19" i="298" s="1"/>
  <c r="J42" i="133"/>
  <c r="P42" i="298" s="1"/>
  <c r="C5" i="133"/>
  <c r="N5" i="298"/>
  <c r="Q10" i="299"/>
  <c r="Q20" i="299" s="1"/>
  <c r="K20" i="233"/>
  <c r="P12" i="299"/>
  <c r="P20" i="299" s="1"/>
  <c r="J20" i="233"/>
  <c r="O12" i="299"/>
  <c r="N12" i="299" s="1"/>
  <c r="N20" i="299" s="1"/>
  <c r="I20" i="233"/>
  <c r="I39" i="233" s="1"/>
  <c r="I45" i="233" s="1"/>
  <c r="K63" i="126"/>
  <c r="J27" i="86" s="1"/>
  <c r="L112" i="123" s="1"/>
  <c r="J63" i="126"/>
  <c r="I27" i="86" s="1"/>
  <c r="K112" i="123" s="1"/>
  <c r="Q25" i="300"/>
  <c r="P25" i="300"/>
  <c r="I60" i="316"/>
  <c r="K32" i="86"/>
  <c r="M110" i="123" s="1"/>
  <c r="N36" i="300"/>
  <c r="K105" i="123"/>
  <c r="C65" i="248"/>
  <c r="B53" i="86" s="1"/>
  <c r="C50" i="131"/>
  <c r="C38" i="131"/>
  <c r="C40" i="131" s="1"/>
  <c r="D5" i="123" s="1"/>
  <c r="E150" i="351"/>
  <c r="E8" i="88"/>
  <c r="E36" i="248"/>
  <c r="A27" i="248"/>
  <c r="A58" i="248"/>
  <c r="A76" i="248"/>
  <c r="A64" i="248"/>
  <c r="D5" i="248"/>
  <c r="A30" i="248"/>
  <c r="J46" i="248"/>
  <c r="F46" i="248"/>
  <c r="K43" i="248"/>
  <c r="C43" i="248"/>
  <c r="F40" i="248"/>
  <c r="H47" i="248"/>
  <c r="D47" i="248"/>
  <c r="D6" i="134"/>
  <c r="D77" i="134" s="1"/>
  <c r="C11" i="248"/>
  <c r="C5" i="248" s="1"/>
  <c r="E41" i="248"/>
  <c r="E49" i="248" s="1"/>
  <c r="C6" i="134"/>
  <c r="C77" i="134" s="1"/>
  <c r="E11" i="248"/>
  <c r="E5" i="248" s="1"/>
  <c r="F48" i="298"/>
  <c r="F50" i="298" s="1"/>
  <c r="F53" i="298" s="1"/>
  <c r="K48" i="298"/>
  <c r="G48" i="298"/>
  <c r="M48" i="298"/>
  <c r="E48" i="298"/>
  <c r="I48" i="298"/>
  <c r="C48" i="298"/>
  <c r="L48" i="298"/>
  <c r="H48" i="298"/>
  <c r="D48" i="298"/>
  <c r="L25" i="298"/>
  <c r="K75" i="248"/>
  <c r="I75" i="248"/>
  <c r="I69" i="248" s="1"/>
  <c r="K69" i="248"/>
  <c r="K80" i="248" s="1"/>
  <c r="J75" i="248"/>
  <c r="J69" i="248" s="1"/>
  <c r="J6" i="349"/>
  <c r="I6" i="349"/>
  <c r="I77" i="349" s="1"/>
  <c r="H86" i="349"/>
  <c r="H100" i="349"/>
  <c r="H79" i="248"/>
  <c r="H69" i="248" s="1"/>
  <c r="H166" i="255"/>
  <c r="G69" i="248"/>
  <c r="G34" i="88" s="1"/>
  <c r="F56" i="86"/>
  <c r="F69" i="248"/>
  <c r="F84" i="248"/>
  <c r="G101" i="123" s="1"/>
  <c r="G17" i="123"/>
  <c r="E56" i="86"/>
  <c r="F80" i="248"/>
  <c r="F34" i="88"/>
  <c r="F6" i="349"/>
  <c r="F77" i="349" s="1"/>
  <c r="D69" i="248"/>
  <c r="C56" i="86" s="1"/>
  <c r="E84" i="248"/>
  <c r="F101" i="123" s="1"/>
  <c r="D56" i="86"/>
  <c r="E80" i="248"/>
  <c r="F17" i="123"/>
  <c r="E17" i="123"/>
  <c r="D80" i="248"/>
  <c r="C75" i="248"/>
  <c r="C69" i="248" s="1"/>
  <c r="C84" i="248" s="1"/>
  <c r="D101" i="123" s="1"/>
  <c r="J21" i="248"/>
  <c r="J36" i="248" s="1"/>
  <c r="I26" i="248"/>
  <c r="I6" i="350"/>
  <c r="I77" i="350" s="1"/>
  <c r="I86" i="350" s="1"/>
  <c r="K21" i="248"/>
  <c r="K26" i="248" s="1"/>
  <c r="K20" i="248" s="1"/>
  <c r="I36" i="248"/>
  <c r="K45" i="248"/>
  <c r="I45" i="248"/>
  <c r="J42" i="248"/>
  <c r="J77" i="350"/>
  <c r="J86" i="350" s="1"/>
  <c r="I42" i="248"/>
  <c r="I20" i="248"/>
  <c r="I83" i="248" s="1"/>
  <c r="K6" i="134"/>
  <c r="K42" i="248"/>
  <c r="K7" i="248"/>
  <c r="K37" i="248" s="1"/>
  <c r="I11" i="248"/>
  <c r="I5" i="248" s="1"/>
  <c r="J11" i="248"/>
  <c r="J5" i="248" s="1"/>
  <c r="J40" i="248"/>
  <c r="J6" i="134"/>
  <c r="J77" i="134" s="1"/>
  <c r="J45" i="248"/>
  <c r="H11" i="248"/>
  <c r="H5" i="248" s="1"/>
  <c r="F36" i="248"/>
  <c r="F41" i="248" s="1"/>
  <c r="F26" i="248"/>
  <c r="G45" i="248"/>
  <c r="G36" i="248"/>
  <c r="G26" i="248"/>
  <c r="G6" i="350"/>
  <c r="G77" i="350" s="1"/>
  <c r="H42" i="248"/>
  <c r="G42" i="248"/>
  <c r="F42" i="248"/>
  <c r="G20" i="248"/>
  <c r="H58" i="123" s="1"/>
  <c r="F45" i="248"/>
  <c r="F20" i="248"/>
  <c r="G6" i="134"/>
  <c r="G77" i="134" s="1"/>
  <c r="F6" i="134"/>
  <c r="F77" i="134" s="1"/>
  <c r="H37" i="248"/>
  <c r="H45" i="248"/>
  <c r="H20" i="248"/>
  <c r="C40" i="248"/>
  <c r="D37" i="248"/>
  <c r="D41" i="248" s="1"/>
  <c r="C6" i="350"/>
  <c r="D6" i="350"/>
  <c r="D77" i="350" s="1"/>
  <c r="D86" i="350" s="1"/>
  <c r="C21" i="248"/>
  <c r="D26" i="248"/>
  <c r="D20" i="248" s="1"/>
  <c r="J46" i="131"/>
  <c r="J47" i="131" s="1"/>
  <c r="J50" i="131" s="1"/>
  <c r="N52" i="95"/>
  <c r="N54" i="95" s="1"/>
  <c r="O63" i="95"/>
  <c r="H63" i="95"/>
  <c r="E63" i="95"/>
  <c r="I52" i="95"/>
  <c r="I54" i="95" s="1"/>
  <c r="I64" i="95" s="1"/>
  <c r="G52" i="95"/>
  <c r="G54" i="95" s="1"/>
  <c r="G64" i="95" s="1"/>
  <c r="L52" i="95"/>
  <c r="L54" i="95" s="1"/>
  <c r="L64" i="95" s="1"/>
  <c r="K52" i="95"/>
  <c r="K54" i="95" s="1"/>
  <c r="K64" i="95" s="1"/>
  <c r="M46" i="95"/>
  <c r="M63" i="95" s="1"/>
  <c r="C54" i="95"/>
  <c r="J54" i="95"/>
  <c r="J64" i="95" s="1"/>
  <c r="F54" i="95"/>
  <c r="F64" i="95" s="1"/>
  <c r="B54" i="95"/>
  <c r="B56" i="95" s="1"/>
  <c r="C55" i="95" s="1"/>
  <c r="L38" i="137"/>
  <c r="L42" i="137" s="1"/>
  <c r="L46" i="137" s="1"/>
  <c r="D38" i="137"/>
  <c r="D42" i="137" s="1"/>
  <c r="D46" i="137" s="1"/>
  <c r="N19" i="300"/>
  <c r="E54" i="95"/>
  <c r="E64" i="95" s="1"/>
  <c r="H54" i="95"/>
  <c r="H64" i="95" s="1"/>
  <c r="D54" i="95"/>
  <c r="M21" i="95"/>
  <c r="M33" i="95" s="1"/>
  <c r="G25" i="300"/>
  <c r="K25" i="300"/>
  <c r="C25" i="300"/>
  <c r="H25" i="300"/>
  <c r="N9" i="300"/>
  <c r="N15" i="300"/>
  <c r="D25" i="300"/>
  <c r="J25" i="300"/>
  <c r="M25" i="300"/>
  <c r="L25" i="300"/>
  <c r="E25" i="300"/>
  <c r="I25" i="300"/>
  <c r="F25" i="300"/>
  <c r="L39" i="140"/>
  <c r="H39" i="140"/>
  <c r="J39" i="140"/>
  <c r="F39" i="140"/>
  <c r="D39" i="140"/>
  <c r="M39" i="140"/>
  <c r="K39" i="140"/>
  <c r="C39" i="140"/>
  <c r="H25" i="298"/>
  <c r="N19" i="298"/>
  <c r="N15" i="298"/>
  <c r="J50" i="298"/>
  <c r="J53" i="298" s="1"/>
  <c r="K25" i="298"/>
  <c r="G25" i="298"/>
  <c r="C25" i="298"/>
  <c r="M25" i="298"/>
  <c r="I25" i="298"/>
  <c r="E25" i="298"/>
  <c r="E26" i="298" s="1"/>
  <c r="F26" i="298"/>
  <c r="D25" i="298"/>
  <c r="L40" i="299"/>
  <c r="L45" i="299" s="1"/>
  <c r="J40" i="299"/>
  <c r="J45" i="299" s="1"/>
  <c r="F40" i="299"/>
  <c r="F45" i="299" s="1"/>
  <c r="K38" i="246"/>
  <c r="K42" i="246" s="1"/>
  <c r="K40" i="299"/>
  <c r="K45" i="299" s="1"/>
  <c r="G40" i="299"/>
  <c r="G45" i="299" s="1"/>
  <c r="M40" i="299"/>
  <c r="M45" i="299" s="1"/>
  <c r="I40" i="299"/>
  <c r="I45" i="299" s="1"/>
  <c r="C40" i="299"/>
  <c r="C45" i="299" s="1"/>
  <c r="H40" i="299"/>
  <c r="H45" i="299" s="1"/>
  <c r="E38" i="246"/>
  <c r="E42" i="246" s="1"/>
  <c r="J38" i="246"/>
  <c r="J42" i="246" s="1"/>
  <c r="A252" i="343"/>
  <c r="A13" i="126"/>
  <c r="A30" i="233"/>
  <c r="K17" i="86"/>
  <c r="B17" i="86"/>
  <c r="B18" i="86" s="1"/>
  <c r="E96" i="123" s="1"/>
  <c r="C46" i="88"/>
  <c r="C7" i="88"/>
  <c r="D121" i="123" s="1"/>
  <c r="E27" i="315"/>
  <c r="C150" i="351"/>
  <c r="I38" i="137"/>
  <c r="I42" i="137" s="1"/>
  <c r="I46" i="137" s="1"/>
  <c r="E38" i="137"/>
  <c r="E42" i="137" s="1"/>
  <c r="E46" i="137" s="1"/>
  <c r="H38" i="137"/>
  <c r="H42" i="137" s="1"/>
  <c r="H46" i="137" s="1"/>
  <c r="K38" i="137"/>
  <c r="K42" i="137" s="1"/>
  <c r="K46" i="137" s="1"/>
  <c r="G38" i="137"/>
  <c r="G42" i="137" s="1"/>
  <c r="G46" i="137" s="1"/>
  <c r="J38" i="137"/>
  <c r="J42" i="137" s="1"/>
  <c r="J46" i="137" s="1"/>
  <c r="F38" i="137"/>
  <c r="F42" i="137" s="1"/>
  <c r="F46" i="137" s="1"/>
  <c r="C38" i="137"/>
  <c r="C42" i="137" s="1"/>
  <c r="C46" i="137" s="1"/>
  <c r="K9" i="86"/>
  <c r="M54" i="123"/>
  <c r="M10" i="123" s="1"/>
  <c r="Q20" i="137"/>
  <c r="L22" i="127"/>
  <c r="L37" i="88" s="1"/>
  <c r="K14" i="123"/>
  <c r="I64" i="305"/>
  <c r="I91" i="255"/>
  <c r="K60" i="316"/>
  <c r="I47" i="249"/>
  <c r="K47" i="249"/>
  <c r="K46" i="136"/>
  <c r="J46" i="136"/>
  <c r="C38" i="246"/>
  <c r="C42" i="246" s="1"/>
  <c r="R36" i="246"/>
  <c r="D38" i="246"/>
  <c r="D42" i="246" s="1"/>
  <c r="H38" i="246"/>
  <c r="H42" i="246" s="1"/>
  <c r="G38" i="246"/>
  <c r="G42" i="246" s="1"/>
  <c r="Q38" i="246"/>
  <c r="Q42" i="246" s="1"/>
  <c r="P38" i="246"/>
  <c r="P42" i="246" s="1"/>
  <c r="L38" i="246"/>
  <c r="L42" i="246" s="1"/>
  <c r="I38" i="246"/>
  <c r="I42" i="246" s="1"/>
  <c r="R22" i="246"/>
  <c r="F38" i="246"/>
  <c r="F42" i="246" s="1"/>
  <c r="O34" i="137"/>
  <c r="N34" i="137" s="1"/>
  <c r="I17" i="86"/>
  <c r="P34" i="137"/>
  <c r="I15" i="86"/>
  <c r="O30" i="137"/>
  <c r="N30" i="137" s="1"/>
  <c r="Q30" i="137"/>
  <c r="K15" i="86"/>
  <c r="P30" i="137"/>
  <c r="J15" i="86"/>
  <c r="I54" i="86"/>
  <c r="I13" i="86"/>
  <c r="L46" i="88"/>
  <c r="Q25" i="137"/>
  <c r="K11" i="86"/>
  <c r="L36" i="127"/>
  <c r="J11" i="86"/>
  <c r="J18" i="86" s="1"/>
  <c r="L87" i="123" s="1"/>
  <c r="L131" i="123" s="1"/>
  <c r="P25" i="137"/>
  <c r="K46" i="88"/>
  <c r="K36" i="127"/>
  <c r="O25" i="137"/>
  <c r="N25" i="137" s="1"/>
  <c r="I11" i="86"/>
  <c r="J46" i="88"/>
  <c r="J9" i="86"/>
  <c r="I9" i="86"/>
  <c r="L41" i="123"/>
  <c r="K49" i="123"/>
  <c r="K41" i="123" s="1"/>
  <c r="O10" i="137"/>
  <c r="N10" i="137" s="1"/>
  <c r="M41" i="123"/>
  <c r="M43" i="123"/>
  <c r="M11" i="123" s="1"/>
  <c r="M103" i="123" s="1"/>
  <c r="K6" i="86"/>
  <c r="Q22" i="137"/>
  <c r="M93" i="123"/>
  <c r="K10" i="86"/>
  <c r="M86" i="123" s="1"/>
  <c r="L46" i="123"/>
  <c r="M38" i="123" s="1"/>
  <c r="O7" i="137"/>
  <c r="N7" i="137" s="1"/>
  <c r="L93" i="123"/>
  <c r="K93" i="123"/>
  <c r="I6" i="86"/>
  <c r="K94" i="123" s="1"/>
  <c r="K46" i="123"/>
  <c r="M44" i="123"/>
  <c r="L17" i="88"/>
  <c r="L54" i="123"/>
  <c r="L10" i="123" s="1"/>
  <c r="K18" i="88"/>
  <c r="P5" i="137"/>
  <c r="P22" i="137" s="1"/>
  <c r="J5" i="86"/>
  <c r="M92" i="123"/>
  <c r="L45" i="123"/>
  <c r="K38" i="88"/>
  <c r="K22" i="127"/>
  <c r="K17" i="88"/>
  <c r="K45" i="123"/>
  <c r="J38" i="88"/>
  <c r="J18" i="88"/>
  <c r="L92" i="123"/>
  <c r="K43" i="123"/>
  <c r="K11" i="123" s="1"/>
  <c r="K103" i="123" s="1"/>
  <c r="J22" i="127"/>
  <c r="K54" i="123"/>
  <c r="K10" i="123" s="1"/>
  <c r="K116" i="123" s="1"/>
  <c r="K92" i="123"/>
  <c r="O5" i="137"/>
  <c r="N5" i="137" s="1"/>
  <c r="L37" i="123"/>
  <c r="F37" i="148"/>
  <c r="D57" i="145"/>
  <c r="I11" i="145"/>
  <c r="F46" i="146"/>
  <c r="E46" i="146"/>
  <c r="I46" i="146"/>
  <c r="H104" i="146"/>
  <c r="H46" i="146"/>
  <c r="G48" i="146"/>
  <c r="G49" i="146" s="1"/>
  <c r="H48" i="146"/>
  <c r="H102" i="146" s="1"/>
  <c r="H33" i="88" s="1"/>
  <c r="I30" i="146"/>
  <c r="H30" i="146"/>
  <c r="H49" i="146"/>
  <c r="G104" i="146"/>
  <c r="G30" i="146"/>
  <c r="E30" i="146"/>
  <c r="D48" i="146"/>
  <c r="D49" i="146" s="1"/>
  <c r="D104" i="146"/>
  <c r="F30" i="146"/>
  <c r="E48" i="146"/>
  <c r="F49" i="146" s="1"/>
  <c r="F102" i="146"/>
  <c r="F33" i="88" s="1"/>
  <c r="J14" i="146"/>
  <c r="F14" i="146"/>
  <c r="K14" i="146"/>
  <c r="D14" i="146"/>
  <c r="E14" i="146"/>
  <c r="G32" i="305"/>
  <c r="F36" i="127"/>
  <c r="F150" i="351" s="1"/>
  <c r="G60" i="316"/>
  <c r="G52" i="316"/>
  <c r="F52" i="316"/>
  <c r="E34" i="88"/>
  <c r="E25" i="316"/>
  <c r="E59" i="316" s="1"/>
  <c r="E52" i="316"/>
  <c r="D32" i="86"/>
  <c r="F108" i="123" s="1"/>
  <c r="E53" i="316"/>
  <c r="H67" i="144"/>
  <c r="J34" i="144"/>
  <c r="J71" i="144" s="1"/>
  <c r="E67" i="144"/>
  <c r="J33" i="337"/>
  <c r="K48" i="337"/>
  <c r="I47" i="337"/>
  <c r="K33" i="337"/>
  <c r="G33" i="337"/>
  <c r="G34" i="337" s="1"/>
  <c r="F18" i="337"/>
  <c r="K18" i="337"/>
  <c r="H48" i="337"/>
  <c r="J18" i="337"/>
  <c r="L18" i="337"/>
  <c r="I15" i="337"/>
  <c r="D17" i="123"/>
  <c r="C24" i="129"/>
  <c r="B36" i="86" s="1"/>
  <c r="D63" i="126"/>
  <c r="C27" i="86" s="1"/>
  <c r="E112" i="123" s="1"/>
  <c r="C63" i="126"/>
  <c r="B27" i="86" s="1"/>
  <c r="D112" i="123" s="1"/>
  <c r="D107" i="123"/>
  <c r="D108" i="123"/>
  <c r="C38" i="233"/>
  <c r="D39" i="126"/>
  <c r="D40" i="126" s="1"/>
  <c r="E52" i="123" s="1"/>
  <c r="E13" i="123" s="1"/>
  <c r="E122" i="123" s="1"/>
  <c r="F12" i="123"/>
  <c r="D340" i="343"/>
  <c r="C340" i="343"/>
  <c r="C341" i="343" s="1"/>
  <c r="H36" i="142"/>
  <c r="H15" i="88"/>
  <c r="H12" i="129"/>
  <c r="H13" i="88" s="1"/>
  <c r="G36" i="142"/>
  <c r="I19" i="88"/>
  <c r="I12" i="129"/>
  <c r="H35" i="86" s="1"/>
  <c r="G24" i="129"/>
  <c r="H17" i="123"/>
  <c r="G95" i="248"/>
  <c r="H85" i="349"/>
  <c r="H25" i="129"/>
  <c r="H71" i="129" s="1"/>
  <c r="H95" i="248"/>
  <c r="G15" i="88"/>
  <c r="G13" i="88"/>
  <c r="F37" i="86"/>
  <c r="H37" i="86"/>
  <c r="I15" i="88"/>
  <c r="I40" i="129"/>
  <c r="F34" i="129"/>
  <c r="F19" i="88"/>
  <c r="F38" i="88"/>
  <c r="F35" i="237"/>
  <c r="F29" i="237" s="1"/>
  <c r="F32" i="237" s="1"/>
  <c r="F14" i="237" s="1"/>
  <c r="F18" i="237" s="1"/>
  <c r="E49" i="86" s="1"/>
  <c r="H15" i="123"/>
  <c r="I51" i="131"/>
  <c r="H38" i="131"/>
  <c r="H40" i="131" s="1"/>
  <c r="H5" i="237" s="1"/>
  <c r="H6" i="237" s="1"/>
  <c r="G38" i="131"/>
  <c r="G40" i="131" s="1"/>
  <c r="G5" i="237" s="1"/>
  <c r="G6" i="237" s="1"/>
  <c r="G8" i="237" s="1"/>
  <c r="G51" i="131"/>
  <c r="H47" i="131"/>
  <c r="H50" i="131" s="1"/>
  <c r="H51" i="131" s="1"/>
  <c r="H116" i="123"/>
  <c r="G36" i="237"/>
  <c r="G29" i="237" s="1"/>
  <c r="G32" i="237" s="1"/>
  <c r="G14" i="237" s="1"/>
  <c r="G18" i="237" s="1"/>
  <c r="F49" i="86" s="1"/>
  <c r="F47" i="131"/>
  <c r="F50" i="131" s="1"/>
  <c r="F51" i="131" s="1"/>
  <c r="G116" i="123"/>
  <c r="F23" i="88"/>
  <c r="E45" i="86"/>
  <c r="G5" i="123"/>
  <c r="F5" i="237"/>
  <c r="F6" i="237" s="1"/>
  <c r="F8" i="237" s="1"/>
  <c r="E48" i="86" s="1"/>
  <c r="H14" i="88"/>
  <c r="D84" i="123"/>
  <c r="D55" i="123" s="1"/>
  <c r="C45" i="86"/>
  <c r="E5" i="123"/>
  <c r="D5" i="237"/>
  <c r="D39" i="88"/>
  <c r="E7" i="123" s="1"/>
  <c r="E117" i="123" s="1"/>
  <c r="D23" i="88"/>
  <c r="F149" i="351"/>
  <c r="I23" i="88"/>
  <c r="J5" i="123"/>
  <c r="I5" i="237"/>
  <c r="H45" i="86"/>
  <c r="G149" i="351"/>
  <c r="E25" i="129"/>
  <c r="D40" i="129"/>
  <c r="D42" i="129" s="1"/>
  <c r="D55" i="129" s="1"/>
  <c r="E39" i="88"/>
  <c r="F7" i="123" s="1"/>
  <c r="F117" i="123" s="1"/>
  <c r="E5" i="237"/>
  <c r="E15" i="88"/>
  <c r="F44" i="123"/>
  <c r="J2" i="246"/>
  <c r="P20" i="298"/>
  <c r="J19" i="133"/>
  <c r="P19" i="298" s="1"/>
  <c r="C15" i="294"/>
  <c r="O15" i="140"/>
  <c r="N15" i="140" s="1"/>
  <c r="J7" i="126"/>
  <c r="D19" i="294"/>
  <c r="P19" i="140"/>
  <c r="E40" i="129"/>
  <c r="A16" i="299"/>
  <c r="A34" i="299" s="1"/>
  <c r="N2" i="246"/>
  <c r="A17" i="299"/>
  <c r="A35" i="299" s="1"/>
  <c r="O2" i="246"/>
  <c r="A33" i="233"/>
  <c r="A15" i="233"/>
  <c r="K16" i="86"/>
  <c r="Q33" i="137"/>
  <c r="E6" i="294"/>
  <c r="Q6" i="140"/>
  <c r="C55" i="86"/>
  <c r="E58" i="123"/>
  <c r="D48" i="127"/>
  <c r="A7" i="140"/>
  <c r="A26" i="126"/>
  <c r="A25" i="140" s="1"/>
  <c r="A37" i="233"/>
  <c r="A28" i="126"/>
  <c r="A27" i="140" s="1"/>
  <c r="J5" i="133"/>
  <c r="F126" i="123"/>
  <c r="E36" i="253"/>
  <c r="A27" i="126"/>
  <c r="A26" i="140" s="1"/>
  <c r="T3" i="127"/>
  <c r="S3" i="233"/>
  <c r="N5" i="300"/>
  <c r="O25" i="300"/>
  <c r="I109" i="123"/>
  <c r="I108" i="123"/>
  <c r="D341" i="343"/>
  <c r="J160" i="343"/>
  <c r="J20" i="126" s="1"/>
  <c r="H2" i="362"/>
  <c r="M2" i="256"/>
  <c r="J13" i="88"/>
  <c r="L108" i="123"/>
  <c r="I37" i="86"/>
  <c r="B4" i="100"/>
  <c r="B108" i="100"/>
  <c r="A1" i="248" s="1"/>
  <c r="B103" i="100"/>
  <c r="A1" i="127" s="1"/>
  <c r="E44" i="133"/>
  <c r="E42" i="133" s="1"/>
  <c r="E35" i="133"/>
  <c r="E32" i="133" s="1"/>
  <c r="L74" i="126"/>
  <c r="I63" i="126"/>
  <c r="I85" i="126" s="1"/>
  <c r="C29" i="126"/>
  <c r="C39" i="126" s="1"/>
  <c r="C40" i="126" s="1"/>
  <c r="Q160" i="343"/>
  <c r="Q138" i="343"/>
  <c r="J140" i="343"/>
  <c r="L138" i="343"/>
  <c r="L18" i="126" s="1"/>
  <c r="R171" i="343"/>
  <c r="I171" i="343"/>
  <c r="I341" i="343" s="1"/>
  <c r="Q116" i="343"/>
  <c r="G40" i="129"/>
  <c r="B29" i="100"/>
  <c r="B6" i="100"/>
  <c r="F340" i="343"/>
  <c r="U149" i="343"/>
  <c r="K150" i="343"/>
  <c r="K149" i="343" s="1"/>
  <c r="K19" i="126" s="1"/>
  <c r="U127" i="343"/>
  <c r="L116" i="343"/>
  <c r="A28" i="248"/>
  <c r="A77" i="248"/>
  <c r="L94" i="123"/>
  <c r="B3" i="100"/>
  <c r="Q149" i="343"/>
  <c r="J150" i="343"/>
  <c r="J149" i="343" s="1"/>
  <c r="J19" i="126" s="1"/>
  <c r="J128" i="343"/>
  <c r="J127" i="343" s="1"/>
  <c r="J17" i="126" s="1"/>
  <c r="Q127" i="343"/>
  <c r="J94" i="343"/>
  <c r="J14" i="126" s="1"/>
  <c r="W171" i="343"/>
  <c r="K61" i="343"/>
  <c r="K11" i="126" s="1"/>
  <c r="K39" i="343"/>
  <c r="K9" i="126" s="1"/>
  <c r="D29" i="237"/>
  <c r="D32" i="237" s="1"/>
  <c r="D14" i="237" s="1"/>
  <c r="D18" i="237" s="1"/>
  <c r="C49" i="86" s="1"/>
  <c r="J40" i="129"/>
  <c r="J42" i="129" s="1"/>
  <c r="J55" i="129" s="1"/>
  <c r="F63" i="126"/>
  <c r="E27" i="86" s="1"/>
  <c r="G112" i="123" s="1"/>
  <c r="J138" i="343"/>
  <c r="J18" i="126" s="1"/>
  <c r="U116" i="343"/>
  <c r="N171" i="343"/>
  <c r="G171" i="343"/>
  <c r="S171" i="343"/>
  <c r="F171" i="343"/>
  <c r="K17" i="343"/>
  <c r="Q105" i="343"/>
  <c r="K85" i="343"/>
  <c r="K83" i="343" s="1"/>
  <c r="K13" i="126" s="1"/>
  <c r="J33" i="343"/>
  <c r="J28" i="343" s="1"/>
  <c r="J8" i="126" s="1"/>
  <c r="U17" i="343"/>
  <c r="F65" i="248"/>
  <c r="I37" i="248"/>
  <c r="I41" i="248" s="1"/>
  <c r="I49" i="248" s="1"/>
  <c r="E26" i="248"/>
  <c r="E20" i="248" s="1"/>
  <c r="J47" i="248"/>
  <c r="F11" i="248"/>
  <c r="F5" i="248" s="1"/>
  <c r="D33" i="337"/>
  <c r="E34" i="337" s="1"/>
  <c r="E18" i="337"/>
  <c r="G47" i="249"/>
  <c r="Q94" i="343"/>
  <c r="Q83" i="343"/>
  <c r="Q72" i="343"/>
  <c r="K70" i="343"/>
  <c r="C95" i="248"/>
  <c r="D44" i="248"/>
  <c r="K117" i="343"/>
  <c r="K116" i="343" s="1"/>
  <c r="K16" i="126" s="1"/>
  <c r="F12" i="129"/>
  <c r="G15" i="123"/>
  <c r="J26" i="248"/>
  <c r="J20" i="248" s="1"/>
  <c r="G37" i="248"/>
  <c r="G41" i="248" s="1"/>
  <c r="G11" i="248"/>
  <c r="G5" i="248" s="1"/>
  <c r="C37" i="248"/>
  <c r="H36" i="248"/>
  <c r="N38" i="246"/>
  <c r="N42" i="246" s="1"/>
  <c r="G18" i="337"/>
  <c r="K46" i="248"/>
  <c r="G43" i="248"/>
  <c r="E17" i="86"/>
  <c r="E18" i="86" s="1"/>
  <c r="H52" i="316"/>
  <c r="H59" i="316"/>
  <c r="J48" i="337"/>
  <c r="I32" i="337"/>
  <c r="J100" i="146"/>
  <c r="C104" i="146"/>
  <c r="D46" i="146"/>
  <c r="M26" i="298"/>
  <c r="E100" i="146"/>
  <c r="E104" i="146"/>
  <c r="C100" i="146"/>
  <c r="C102" i="146" s="1"/>
  <c r="D66" i="146"/>
  <c r="L26" i="298"/>
  <c r="L50" i="298"/>
  <c r="L53" i="298" s="1"/>
  <c r="J63" i="305"/>
  <c r="K98" i="146"/>
  <c r="G102" i="146"/>
  <c r="K77" i="350"/>
  <c r="I25" i="316"/>
  <c r="F98" i="146"/>
  <c r="K100" i="146"/>
  <c r="J104" i="146"/>
  <c r="K30" i="146"/>
  <c r="K104" i="146"/>
  <c r="F44" i="139"/>
  <c r="O42" i="139"/>
  <c r="H6" i="134"/>
  <c r="H77" i="134" s="1"/>
  <c r="E6" i="350"/>
  <c r="E77" i="350" s="1"/>
  <c r="K6" i="349"/>
  <c r="K77" i="349" s="1"/>
  <c r="D77" i="349"/>
  <c r="E6" i="358"/>
  <c r="E77" i="358" s="1"/>
  <c r="E97" i="358" s="1"/>
  <c r="G54" i="294"/>
  <c r="F35" i="253"/>
  <c r="E64" i="86" s="1"/>
  <c r="D14" i="253"/>
  <c r="I45" i="253"/>
  <c r="I37" i="148"/>
  <c r="O30" i="139"/>
  <c r="O9" i="139"/>
  <c r="I6" i="134"/>
  <c r="I77" i="134" s="1"/>
  <c r="H6" i="350"/>
  <c r="H77" i="350" s="1"/>
  <c r="J77" i="349"/>
  <c r="G6" i="349"/>
  <c r="G77" i="349" s="1"/>
  <c r="C6" i="349"/>
  <c r="C77" i="349" s="1"/>
  <c r="H6" i="358"/>
  <c r="H77" i="358" s="1"/>
  <c r="H97" i="358" s="1"/>
  <c r="C15" i="255"/>
  <c r="C7" i="127" s="1"/>
  <c r="C57" i="253"/>
  <c r="C60" i="253" s="1"/>
  <c r="F36" i="253"/>
  <c r="C23" i="139"/>
  <c r="O21" i="139"/>
  <c r="O23" i="139" s="1"/>
  <c r="K77" i="134"/>
  <c r="C77" i="350"/>
  <c r="K77" i="358"/>
  <c r="K97" i="358" s="1"/>
  <c r="C77" i="358"/>
  <c r="C97" i="358" s="1"/>
  <c r="G6" i="86"/>
  <c r="G10" i="86" s="1"/>
  <c r="K48" i="146"/>
  <c r="O36" i="139"/>
  <c r="O44" i="139" s="1"/>
  <c r="J23" i="139"/>
  <c r="E6" i="134"/>
  <c r="E77" i="134" s="1"/>
  <c r="F77" i="350"/>
  <c r="E6" i="349"/>
  <c r="E77" i="349" s="1"/>
  <c r="D6" i="358"/>
  <c r="D77" i="358" s="1"/>
  <c r="D97" i="358" s="1"/>
  <c r="F79" i="253"/>
  <c r="J27" i="253"/>
  <c r="J63" i="86"/>
  <c r="J57" i="253"/>
  <c r="J60" i="253" s="1"/>
  <c r="K10" i="253"/>
  <c r="K15" i="253" s="1"/>
  <c r="G88" i="363"/>
  <c r="J106" i="363"/>
  <c r="J107" i="363" s="1"/>
  <c r="H15" i="253"/>
  <c r="K40" i="253"/>
  <c r="K45" i="253" s="1"/>
  <c r="E10" i="253"/>
  <c r="E15" i="253" s="1"/>
  <c r="F14" i="253"/>
  <c r="G110" i="123"/>
  <c r="H109" i="123"/>
  <c r="H32" i="86"/>
  <c r="J110" i="123" s="1"/>
  <c r="J107" i="123"/>
  <c r="I74" i="126"/>
  <c r="H110" i="123"/>
  <c r="G108" i="123"/>
  <c r="H27" i="86"/>
  <c r="J112" i="123" s="1"/>
  <c r="H63" i="126"/>
  <c r="G27" i="86" s="1"/>
  <c r="I112" i="123" s="1"/>
  <c r="G63" i="126"/>
  <c r="F27" i="86" s="1"/>
  <c r="H112" i="123" s="1"/>
  <c r="F29" i="126"/>
  <c r="F39" i="126" s="1"/>
  <c r="F40" i="126" s="1"/>
  <c r="G57" i="123" s="1"/>
  <c r="H39" i="126"/>
  <c r="H40" i="126" s="1"/>
  <c r="G39" i="126"/>
  <c r="G40" i="126" s="1"/>
  <c r="G48" i="88" s="1"/>
  <c r="G9" i="88" s="1"/>
  <c r="H340" i="343"/>
  <c r="H341" i="343" s="1"/>
  <c r="I39" i="126"/>
  <c r="I40" i="126" s="1"/>
  <c r="J12" i="123" s="1"/>
  <c r="G340" i="343"/>
  <c r="G341" i="343" s="1"/>
  <c r="L85" i="126" l="1"/>
  <c r="L110" i="123"/>
  <c r="L109" i="123"/>
  <c r="I35" i="86"/>
  <c r="G35" i="86"/>
  <c r="G14" i="88"/>
  <c r="C25" i="133"/>
  <c r="C39" i="233"/>
  <c r="D87" i="123"/>
  <c r="D131" i="123" s="1"/>
  <c r="C48" i="133"/>
  <c r="C58" i="133" s="1"/>
  <c r="D48" i="133"/>
  <c r="D58" i="133" s="1"/>
  <c r="D110" i="123"/>
  <c r="F85" i="126"/>
  <c r="D85" i="126"/>
  <c r="G48" i="337"/>
  <c r="D39" i="233"/>
  <c r="D45" i="233" s="1"/>
  <c r="O20" i="299"/>
  <c r="O40" i="299" s="1"/>
  <c r="O45" i="299" s="1"/>
  <c r="H39" i="233"/>
  <c r="H45" i="233" s="1"/>
  <c r="E39" i="233"/>
  <c r="E45" i="233" s="1"/>
  <c r="I57" i="145"/>
  <c r="K85" i="126"/>
  <c r="K110" i="123"/>
  <c r="K109" i="123"/>
  <c r="L8" i="88"/>
  <c r="L35" i="88"/>
  <c r="L19" i="88"/>
  <c r="A30" i="126"/>
  <c r="A29" i="140" s="1"/>
  <c r="A11" i="140"/>
  <c r="A11" i="294"/>
  <c r="A30" i="294" s="1"/>
  <c r="A8" i="294"/>
  <c r="A27" i="294" s="1"/>
  <c r="A8" i="140"/>
  <c r="J39" i="233"/>
  <c r="J45" i="233" s="1"/>
  <c r="Q40" i="299"/>
  <c r="Q45" i="299" s="1"/>
  <c r="F87" i="123"/>
  <c r="F131" i="123" s="1"/>
  <c r="F96" i="123"/>
  <c r="E7" i="88"/>
  <c r="F121" i="123" s="1"/>
  <c r="P40" i="299"/>
  <c r="P45" i="299" s="1"/>
  <c r="G39" i="233"/>
  <c r="G45" i="233" s="1"/>
  <c r="E35" i="88"/>
  <c r="E38" i="127"/>
  <c r="E42" i="127" s="1"/>
  <c r="F8" i="123" s="1"/>
  <c r="E149" i="351"/>
  <c r="E19" i="88"/>
  <c r="E37" i="88"/>
  <c r="E32" i="88"/>
  <c r="F116" i="123"/>
  <c r="E36" i="237"/>
  <c r="E29" i="237" s="1"/>
  <c r="E32" i="237" s="1"/>
  <c r="E14" i="237" s="1"/>
  <c r="E18" i="237" s="1"/>
  <c r="D49" i="86" s="1"/>
  <c r="G38" i="123"/>
  <c r="F38" i="123"/>
  <c r="G94" i="123"/>
  <c r="D10" i="86"/>
  <c r="F94" i="123"/>
  <c r="E25" i="133"/>
  <c r="E57" i="133" s="1"/>
  <c r="F109" i="123"/>
  <c r="D27" i="86"/>
  <c r="F112" i="123" s="1"/>
  <c r="G26" i="314"/>
  <c r="F52" i="123"/>
  <c r="F13" i="123" s="1"/>
  <c r="F122" i="123" s="1"/>
  <c r="E48" i="88"/>
  <c r="E9" i="88" s="1"/>
  <c r="J49" i="146"/>
  <c r="J102" i="146"/>
  <c r="J103" i="146" s="1"/>
  <c r="K42" i="86"/>
  <c r="K47" i="131"/>
  <c r="K50" i="131" s="1"/>
  <c r="J36" i="237"/>
  <c r="J29" i="237" s="1"/>
  <c r="J32" i="237" s="1"/>
  <c r="J14" i="237" s="1"/>
  <c r="J18" i="237" s="1"/>
  <c r="I49" i="86" s="1"/>
  <c r="K38" i="131"/>
  <c r="L47" i="131"/>
  <c r="L50" i="131" s="1"/>
  <c r="L51" i="131" s="1"/>
  <c r="L116" i="123"/>
  <c r="K36" i="237"/>
  <c r="K29" i="237" s="1"/>
  <c r="K32" i="237" s="1"/>
  <c r="K14" i="237" s="1"/>
  <c r="K18" i="237" s="1"/>
  <c r="J49" i="86" s="1"/>
  <c r="J38" i="131"/>
  <c r="J40" i="131" s="1"/>
  <c r="J5" i="237" s="1"/>
  <c r="J6" i="237" s="1"/>
  <c r="J8" i="237" s="1"/>
  <c r="M116" i="123"/>
  <c r="L36" i="237"/>
  <c r="L29" i="237" s="1"/>
  <c r="L32" i="237" s="1"/>
  <c r="L14" i="237" s="1"/>
  <c r="L18" i="237" s="1"/>
  <c r="K49" i="86" s="1"/>
  <c r="O38" i="140"/>
  <c r="N23" i="140"/>
  <c r="N38" i="140" s="1"/>
  <c r="K42" i="129"/>
  <c r="K55" i="129" s="1"/>
  <c r="K71" i="129"/>
  <c r="K35" i="86"/>
  <c r="L13" i="88"/>
  <c r="L14" i="88"/>
  <c r="L25" i="129"/>
  <c r="H150" i="351"/>
  <c r="H38" i="127"/>
  <c r="H42" i="127" s="1"/>
  <c r="H7" i="88"/>
  <c r="I121" i="123" s="1"/>
  <c r="K39" i="233"/>
  <c r="K45" i="233" s="1"/>
  <c r="H48" i="133"/>
  <c r="H58" i="133" s="1"/>
  <c r="K48" i="133"/>
  <c r="K58" i="133" s="1"/>
  <c r="O25" i="298"/>
  <c r="F48" i="133"/>
  <c r="F58" i="133" s="1"/>
  <c r="H25" i="133"/>
  <c r="K25" i="133"/>
  <c r="N25" i="298"/>
  <c r="D25" i="133"/>
  <c r="Q25" i="298"/>
  <c r="Q50" i="298" s="1"/>
  <c r="Q53" i="298" s="1"/>
  <c r="E48" i="133"/>
  <c r="E58" i="133" s="1"/>
  <c r="F25" i="133"/>
  <c r="G25" i="133"/>
  <c r="P28" i="298"/>
  <c r="J48" i="133"/>
  <c r="J58" i="133" s="1"/>
  <c r="I25" i="133"/>
  <c r="Q48" i="298"/>
  <c r="P48" i="298"/>
  <c r="J85" i="126"/>
  <c r="N25" i="300"/>
  <c r="M109" i="123"/>
  <c r="M108" i="123"/>
  <c r="C25" i="129"/>
  <c r="C71" i="129" s="1"/>
  <c r="C39" i="88"/>
  <c r="D7" i="123" s="1"/>
  <c r="D117" i="123" s="1"/>
  <c r="C51" i="131"/>
  <c r="C5" i="237"/>
  <c r="C6" i="237" s="1"/>
  <c r="C8" i="237" s="1"/>
  <c r="B48" i="86" s="1"/>
  <c r="B45" i="86"/>
  <c r="C23" i="88"/>
  <c r="K11" i="248"/>
  <c r="K5" i="248" s="1"/>
  <c r="J41" i="248"/>
  <c r="D50" i="298"/>
  <c r="D53" i="298" s="1"/>
  <c r="M50" i="298"/>
  <c r="M53" i="298" s="1"/>
  <c r="C50" i="298"/>
  <c r="C53" i="298" s="1"/>
  <c r="I50" i="298"/>
  <c r="I53" i="298" s="1"/>
  <c r="H50" i="298"/>
  <c r="H53" i="298" s="1"/>
  <c r="H26" i="298"/>
  <c r="I26" i="298"/>
  <c r="I84" i="248"/>
  <c r="K101" i="123" s="1"/>
  <c r="I56" i="86"/>
  <c r="I80" i="248"/>
  <c r="K17" i="123"/>
  <c r="H56" i="86"/>
  <c r="J17" i="123"/>
  <c r="K84" i="248"/>
  <c r="M101" i="123" s="1"/>
  <c r="M17" i="123"/>
  <c r="K56" i="86"/>
  <c r="J80" i="248"/>
  <c r="J84" i="248"/>
  <c r="L101" i="123" s="1"/>
  <c r="J56" i="86"/>
  <c r="L17" i="123"/>
  <c r="J166" i="255"/>
  <c r="I85" i="349"/>
  <c r="I100" i="349"/>
  <c r="H34" i="88"/>
  <c r="H80" i="248"/>
  <c r="H84" i="248"/>
  <c r="I101" i="123" s="1"/>
  <c r="I17" i="123"/>
  <c r="G56" i="86"/>
  <c r="H85" i="248"/>
  <c r="I102" i="123" s="1"/>
  <c r="G84" i="248"/>
  <c r="H101" i="123" s="1"/>
  <c r="G80" i="248"/>
  <c r="F100" i="349"/>
  <c r="F166" i="255"/>
  <c r="F85" i="349"/>
  <c r="D84" i="248"/>
  <c r="E101" i="123" s="1"/>
  <c r="D34" i="88"/>
  <c r="B56" i="86"/>
  <c r="C80" i="248"/>
  <c r="J49" i="248"/>
  <c r="J85" i="350" s="1"/>
  <c r="K36" i="248"/>
  <c r="K41" i="248" s="1"/>
  <c r="K49" i="248" s="1"/>
  <c r="K82" i="248" s="1"/>
  <c r="M58" i="123"/>
  <c r="K83" i="248"/>
  <c r="K55" i="86"/>
  <c r="M114" i="123" s="1"/>
  <c r="K85" i="248"/>
  <c r="M102" i="123" s="1"/>
  <c r="I85" i="248"/>
  <c r="K102" i="123" s="1"/>
  <c r="K58" i="123"/>
  <c r="I55" i="86"/>
  <c r="F55" i="86"/>
  <c r="H113" i="123" s="1"/>
  <c r="F49" i="248"/>
  <c r="F85" i="350" s="1"/>
  <c r="G83" i="248"/>
  <c r="G85" i="248"/>
  <c r="H102" i="123" s="1"/>
  <c r="H114" i="123"/>
  <c r="F82" i="248"/>
  <c r="H41" i="248"/>
  <c r="H49" i="248" s="1"/>
  <c r="H85" i="350" s="1"/>
  <c r="G58" i="123"/>
  <c r="G18" i="123" s="1"/>
  <c r="E55" i="86"/>
  <c r="F83" i="248"/>
  <c r="G97" i="134"/>
  <c r="H100" i="350"/>
  <c r="I58" i="123"/>
  <c r="H83" i="248"/>
  <c r="G55" i="86"/>
  <c r="H55" i="86"/>
  <c r="J113" i="123" s="1"/>
  <c r="D97" i="134"/>
  <c r="D49" i="248"/>
  <c r="D82" i="248" s="1"/>
  <c r="D83" i="248"/>
  <c r="D85" i="248"/>
  <c r="E102" i="123" s="1"/>
  <c r="C36" i="248"/>
  <c r="C41" i="248" s="1"/>
  <c r="C49" i="248" s="1"/>
  <c r="C26" i="248"/>
  <c r="C20" i="248" s="1"/>
  <c r="N64" i="95"/>
  <c r="N56" i="95"/>
  <c r="O55" i="95" s="1"/>
  <c r="O56" i="95" s="1"/>
  <c r="P55" i="95" s="1"/>
  <c r="P56" i="95" s="1"/>
  <c r="M52" i="95"/>
  <c r="M54" i="95" s="1"/>
  <c r="M64" i="95" s="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D26" i="298"/>
  <c r="G26" i="298"/>
  <c r="G50" i="298"/>
  <c r="G53" i="298" s="1"/>
  <c r="K26" i="298"/>
  <c r="K50" i="298"/>
  <c r="K53" i="298" s="1"/>
  <c r="E50" i="298"/>
  <c r="E53" i="298" s="1"/>
  <c r="N40" i="299"/>
  <c r="N45" i="299" s="1"/>
  <c r="A31" i="126"/>
  <c r="A30" i="140" s="1"/>
  <c r="A12" i="294"/>
  <c r="A31" i="294" s="1"/>
  <c r="A12" i="140"/>
  <c r="L34" i="88"/>
  <c r="L32" i="88"/>
  <c r="L60" i="127"/>
  <c r="K149" i="351" s="1"/>
  <c r="M127" i="123"/>
  <c r="I93" i="255"/>
  <c r="I33" i="127" s="1"/>
  <c r="I46" i="88"/>
  <c r="I39" i="88" s="1"/>
  <c r="J7" i="123" s="1"/>
  <c r="J117" i="123" s="1"/>
  <c r="R38" i="246"/>
  <c r="R42" i="246" s="1"/>
  <c r="P36" i="137"/>
  <c r="P38" i="137" s="1"/>
  <c r="P42" i="137" s="1"/>
  <c r="P46" i="137" s="1"/>
  <c r="K150" i="351"/>
  <c r="M97" i="123"/>
  <c r="K18" i="86"/>
  <c r="K19" i="86" s="1"/>
  <c r="K22" i="86" s="1"/>
  <c r="K24" i="86" s="1"/>
  <c r="Q36" i="137"/>
  <c r="Q38" i="137" s="1"/>
  <c r="Q42" i="137" s="1"/>
  <c r="Q46" i="137" s="1"/>
  <c r="L7" i="88"/>
  <c r="M121" i="123" s="1"/>
  <c r="M27" i="315"/>
  <c r="L38" i="127"/>
  <c r="L42" i="127" s="1"/>
  <c r="M8" i="123" s="1"/>
  <c r="K7" i="88"/>
  <c r="L121" i="123" s="1"/>
  <c r="K38" i="127"/>
  <c r="K42" i="127" s="1"/>
  <c r="K44" i="127" s="1"/>
  <c r="K46" i="127" s="1"/>
  <c r="L27" i="315"/>
  <c r="J150" i="351"/>
  <c r="L97" i="123"/>
  <c r="K97" i="123"/>
  <c r="K99" i="123"/>
  <c r="M94" i="123"/>
  <c r="N22" i="137"/>
  <c r="K38" i="123"/>
  <c r="L38" i="123"/>
  <c r="I10" i="86"/>
  <c r="J10" i="86"/>
  <c r="M37" i="123"/>
  <c r="L44" i="123"/>
  <c r="M36" i="123" s="1"/>
  <c r="M9" i="123" s="1"/>
  <c r="L43" i="123"/>
  <c r="L11" i="123" s="1"/>
  <c r="L103" i="123" s="1"/>
  <c r="K60" i="127"/>
  <c r="K37" i="88"/>
  <c r="K8" i="88"/>
  <c r="K34" i="88"/>
  <c r="K35" i="88"/>
  <c r="K32" i="88"/>
  <c r="K19" i="88"/>
  <c r="K44" i="123"/>
  <c r="K37" i="123"/>
  <c r="O22" i="137"/>
  <c r="J37" i="88"/>
  <c r="J8" i="88"/>
  <c r="J32" i="88"/>
  <c r="J35" i="88"/>
  <c r="J60" i="127"/>
  <c r="I57" i="133" s="1"/>
  <c r="J34" i="88"/>
  <c r="J19" i="88"/>
  <c r="J33" i="88"/>
  <c r="E102" i="146"/>
  <c r="F103" i="146" s="1"/>
  <c r="I49" i="146"/>
  <c r="D102" i="146"/>
  <c r="D33" i="88" s="1"/>
  <c r="E49" i="146"/>
  <c r="G64" i="305"/>
  <c r="G91" i="255"/>
  <c r="H27" i="315"/>
  <c r="F38" i="127"/>
  <c r="F42" i="127" s="1"/>
  <c r="F7" i="88"/>
  <c r="G121" i="123" s="1"/>
  <c r="F110" i="123"/>
  <c r="H34" i="337"/>
  <c r="C85" i="126"/>
  <c r="C45" i="233"/>
  <c r="D48" i="88"/>
  <c r="D9" i="88" s="1"/>
  <c r="D100" i="350"/>
  <c r="F26" i="314"/>
  <c r="E12" i="123"/>
  <c r="E57" i="123"/>
  <c r="E18" i="123" s="1"/>
  <c r="C97" i="134"/>
  <c r="H42" i="129"/>
  <c r="H55" i="129" s="1"/>
  <c r="I13" i="88"/>
  <c r="I25" i="129"/>
  <c r="I14" i="88"/>
  <c r="G25" i="129"/>
  <c r="G71" i="129" s="1"/>
  <c r="F36" i="86"/>
  <c r="I71" i="129"/>
  <c r="I42" i="129"/>
  <c r="I55" i="129" s="1"/>
  <c r="F15" i="88"/>
  <c r="E37" i="86"/>
  <c r="F40" i="129"/>
  <c r="E50" i="86"/>
  <c r="G23" i="88"/>
  <c r="F45" i="86"/>
  <c r="H23" i="88"/>
  <c r="I5" i="123"/>
  <c r="G45" i="86"/>
  <c r="H39" i="88"/>
  <c r="I7" i="123" s="1"/>
  <c r="I117" i="123" s="1"/>
  <c r="H8" i="237"/>
  <c r="H19" i="237" s="1"/>
  <c r="I133" i="123" s="1"/>
  <c r="I134" i="123" s="1"/>
  <c r="I135" i="123" s="1"/>
  <c r="H5" i="123"/>
  <c r="G6" i="123"/>
  <c r="F19" i="237"/>
  <c r="G124" i="123" s="1"/>
  <c r="B59" i="86"/>
  <c r="D126" i="123"/>
  <c r="I86" i="123"/>
  <c r="I127" i="123"/>
  <c r="I91" i="123"/>
  <c r="G19" i="86"/>
  <c r="G22" i="86" s="1"/>
  <c r="G24" i="86" s="1"/>
  <c r="J91" i="123"/>
  <c r="G85" i="349"/>
  <c r="G100" i="349"/>
  <c r="G166" i="255"/>
  <c r="F86" i="350"/>
  <c r="G85" i="126"/>
  <c r="K46" i="253"/>
  <c r="K65" i="86"/>
  <c r="E60" i="86"/>
  <c r="G127" i="123"/>
  <c r="K44" i="256"/>
  <c r="E97" i="134"/>
  <c r="K102" i="146"/>
  <c r="K49" i="146"/>
  <c r="G86" i="350"/>
  <c r="C62" i="86"/>
  <c r="D15" i="253"/>
  <c r="D166" i="255"/>
  <c r="D100" i="349"/>
  <c r="D85" i="349"/>
  <c r="D86" i="349"/>
  <c r="I59" i="316"/>
  <c r="I52" i="316"/>
  <c r="G33" i="88"/>
  <c r="H103" i="146"/>
  <c r="G103" i="146"/>
  <c r="D103" i="146"/>
  <c r="G87" i="123"/>
  <c r="G96" i="123"/>
  <c r="E19" i="86"/>
  <c r="E22" i="86" s="1"/>
  <c r="E24" i="86" s="1"/>
  <c r="F86" i="349"/>
  <c r="G49" i="248"/>
  <c r="G82" i="248" s="1"/>
  <c r="P15" i="140"/>
  <c r="D15" i="294"/>
  <c r="F95" i="248"/>
  <c r="E53" i="86"/>
  <c r="F85" i="248"/>
  <c r="G102" i="123" s="1"/>
  <c r="C17" i="294"/>
  <c r="O17" i="140"/>
  <c r="N17" i="140" s="1"/>
  <c r="D8" i="294"/>
  <c r="P8" i="140"/>
  <c r="D2" i="349"/>
  <c r="H2" i="363"/>
  <c r="D2" i="129"/>
  <c r="D73" i="147"/>
  <c r="D2" i="237"/>
  <c r="F201" i="363"/>
  <c r="D2" i="146"/>
  <c r="E2" i="362"/>
  <c r="D2" i="316"/>
  <c r="D2" i="358"/>
  <c r="D2" i="343"/>
  <c r="F109" i="363"/>
  <c r="D2" i="136"/>
  <c r="D2" i="144"/>
  <c r="D2" i="301"/>
  <c r="D2" i="134"/>
  <c r="D2" i="249"/>
  <c r="F2" i="141"/>
  <c r="D2" i="248"/>
  <c r="F155" i="363"/>
  <c r="E2" i="123"/>
  <c r="F247" i="363"/>
  <c r="D2" i="142"/>
  <c r="D2" i="233"/>
  <c r="F63" i="363"/>
  <c r="F2" i="315"/>
  <c r="D2" i="126"/>
  <c r="D2" i="336"/>
  <c r="F2" i="314"/>
  <c r="D2" i="127"/>
  <c r="D2" i="337"/>
  <c r="D2" i="350"/>
  <c r="C2" i="86"/>
  <c r="D2" i="88"/>
  <c r="D2" i="128"/>
  <c r="E2" i="361"/>
  <c r="D2" i="305"/>
  <c r="D2" i="255"/>
  <c r="D2" i="131"/>
  <c r="D2" i="133"/>
  <c r="D2" i="147"/>
  <c r="D2" i="253"/>
  <c r="N2" i="343"/>
  <c r="S3" i="343"/>
  <c r="O3" i="343"/>
  <c r="R2" i="343"/>
  <c r="J71" i="129"/>
  <c r="E113" i="123"/>
  <c r="E114" i="123"/>
  <c r="K49" i="133"/>
  <c r="E8" i="237"/>
  <c r="E6" i="237"/>
  <c r="D71" i="129"/>
  <c r="E62" i="86"/>
  <c r="F15" i="253"/>
  <c r="L126" i="123"/>
  <c r="J59" i="86"/>
  <c r="C100" i="350"/>
  <c r="C86" i="350"/>
  <c r="C85" i="349"/>
  <c r="C100" i="349"/>
  <c r="C86" i="349"/>
  <c r="H86" i="350"/>
  <c r="K85" i="349"/>
  <c r="K100" i="349"/>
  <c r="L166" i="255"/>
  <c r="K86" i="350"/>
  <c r="L58" i="123"/>
  <c r="J55" i="86"/>
  <c r="J82" i="248"/>
  <c r="J83" i="248"/>
  <c r="J85" i="248"/>
  <c r="L102" i="123" s="1"/>
  <c r="I82" i="248"/>
  <c r="I85" i="350"/>
  <c r="Q171" i="343"/>
  <c r="D55" i="86"/>
  <c r="E82" i="248"/>
  <c r="F58" i="123"/>
  <c r="F18" i="123" s="1"/>
  <c r="E85" i="248"/>
  <c r="F102" i="123" s="1"/>
  <c r="E83" i="248"/>
  <c r="U171" i="343"/>
  <c r="D10" i="294"/>
  <c r="P10" i="140"/>
  <c r="C16" i="294"/>
  <c r="O16" i="140"/>
  <c r="N16" i="140" s="1"/>
  <c r="D18" i="294"/>
  <c r="P18" i="140"/>
  <c r="W3" i="233"/>
  <c r="X3" i="127"/>
  <c r="G36" i="123"/>
  <c r="G9" i="123" s="1"/>
  <c r="F36" i="123"/>
  <c r="F9" i="123" s="1"/>
  <c r="H6" i="123"/>
  <c r="F48" i="86"/>
  <c r="F50" i="86" s="1"/>
  <c r="G19" i="237"/>
  <c r="D6" i="237"/>
  <c r="D8" i="237" s="1"/>
  <c r="E85" i="350"/>
  <c r="E100" i="350"/>
  <c r="E86" i="350"/>
  <c r="J92" i="255"/>
  <c r="J93" i="255" s="1"/>
  <c r="J33" i="127" s="1"/>
  <c r="J64" i="305"/>
  <c r="C7" i="294"/>
  <c r="O7" i="140"/>
  <c r="N7" i="140" s="1"/>
  <c r="K7" i="126"/>
  <c r="K171" i="343"/>
  <c r="K341" i="343" s="1"/>
  <c r="C18" i="294"/>
  <c r="O18" i="140"/>
  <c r="N18" i="140" s="1"/>
  <c r="E17" i="294"/>
  <c r="Q17" i="140"/>
  <c r="E26" i="314"/>
  <c r="D57" i="123"/>
  <c r="D12" i="123"/>
  <c r="D52" i="123"/>
  <c r="D13" i="123" s="1"/>
  <c r="D122" i="123" s="1"/>
  <c r="C48" i="88"/>
  <c r="C9" i="88" s="1"/>
  <c r="E201" i="363"/>
  <c r="C2" i="127"/>
  <c r="C2" i="136"/>
  <c r="E247" i="363"/>
  <c r="D2" i="361"/>
  <c r="E2" i="315"/>
  <c r="E2" i="141"/>
  <c r="C2" i="233"/>
  <c r="C2" i="316"/>
  <c r="C2" i="133"/>
  <c r="C2" i="129"/>
  <c r="C2" i="253"/>
  <c r="C2" i="146"/>
  <c r="B2" i="86"/>
  <c r="C2" i="336"/>
  <c r="C2" i="237"/>
  <c r="E109" i="363"/>
  <c r="E63" i="363"/>
  <c r="E155" i="363"/>
  <c r="C2" i="144"/>
  <c r="E2" i="314"/>
  <c r="D2" i="123"/>
  <c r="C2" i="128"/>
  <c r="C2" i="126"/>
  <c r="C2" i="343"/>
  <c r="C2" i="301"/>
  <c r="C2" i="350"/>
  <c r="C73" i="147"/>
  <c r="C2" i="131"/>
  <c r="C2" i="88"/>
  <c r="C2" i="134"/>
  <c r="D2" i="362"/>
  <c r="C2" i="248"/>
  <c r="C2" i="147"/>
  <c r="C2" i="358"/>
  <c r="C2" i="305"/>
  <c r="C2" i="337"/>
  <c r="C2" i="255"/>
  <c r="C2" i="249"/>
  <c r="G2" i="363"/>
  <c r="C2" i="349"/>
  <c r="C2" i="142"/>
  <c r="M130" i="123"/>
  <c r="J25" i="133"/>
  <c r="P5" i="298"/>
  <c r="P25" i="298" s="1"/>
  <c r="C6" i="294"/>
  <c r="J21" i="126"/>
  <c r="J40" i="126" s="1"/>
  <c r="I100" i="350" s="1"/>
  <c r="O6" i="140"/>
  <c r="I6" i="237"/>
  <c r="I8" i="237" s="1"/>
  <c r="E85" i="349"/>
  <c r="E100" i="349"/>
  <c r="E166" i="255"/>
  <c r="E86" i="349"/>
  <c r="I94" i="123"/>
  <c r="J94" i="123"/>
  <c r="B6" i="86"/>
  <c r="D46" i="123"/>
  <c r="E93" i="123"/>
  <c r="C22" i="127"/>
  <c r="C18" i="88"/>
  <c r="C38" i="88"/>
  <c r="D54" i="123"/>
  <c r="D10" i="123" s="1"/>
  <c r="D17" i="88"/>
  <c r="K166" i="255"/>
  <c r="J100" i="349"/>
  <c r="J85" i="349"/>
  <c r="J86" i="349"/>
  <c r="I65" i="86"/>
  <c r="I46" i="253"/>
  <c r="H65" i="86"/>
  <c r="E35" i="86"/>
  <c r="F13" i="88"/>
  <c r="F14" i="88"/>
  <c r="F25" i="129"/>
  <c r="D12" i="294"/>
  <c r="P12" i="140"/>
  <c r="C13" i="294"/>
  <c r="O13" i="140"/>
  <c r="N13" i="140" s="1"/>
  <c r="C166" i="255"/>
  <c r="L16" i="126"/>
  <c r="L171" i="343"/>
  <c r="L341" i="343" s="1"/>
  <c r="F341" i="343"/>
  <c r="O19" i="140"/>
  <c r="N19" i="140" s="1"/>
  <c r="C19" i="294"/>
  <c r="M2" i="246"/>
  <c r="A15" i="299"/>
  <c r="A33" i="299" s="1"/>
  <c r="J171" i="343"/>
  <c r="J341" i="343" s="1"/>
  <c r="E71" i="129"/>
  <c r="E42" i="129"/>
  <c r="E55" i="129" s="1"/>
  <c r="J109" i="123"/>
  <c r="J108" i="123"/>
  <c r="H85" i="126"/>
  <c r="I57" i="123"/>
  <c r="I18" i="123" s="1"/>
  <c r="H97" i="134"/>
  <c r="H52" i="123"/>
  <c r="H13" i="123" s="1"/>
  <c r="H122" i="123" s="1"/>
  <c r="H57" i="123"/>
  <c r="H18" i="123" s="1"/>
  <c r="J26" i="314"/>
  <c r="J57" i="123"/>
  <c r="J18" i="123" s="1"/>
  <c r="G100" i="350"/>
  <c r="H12" i="123"/>
  <c r="F100" i="350"/>
  <c r="G12" i="123"/>
  <c r="I52" i="123"/>
  <c r="I13" i="123" s="1"/>
  <c r="I122" i="123" s="1"/>
  <c r="I12" i="123"/>
  <c r="H48" i="88"/>
  <c r="H9" i="88" s="1"/>
  <c r="I26" i="314"/>
  <c r="G52" i="123"/>
  <c r="G13" i="123" s="1"/>
  <c r="G122" i="123" s="1"/>
  <c r="H26" i="314"/>
  <c r="F48" i="88"/>
  <c r="F9" i="88" s="1"/>
  <c r="J52" i="123"/>
  <c r="J13" i="123" s="1"/>
  <c r="J122" i="123" s="1"/>
  <c r="I48" i="88"/>
  <c r="I9" i="88" s="1"/>
  <c r="F97" i="134"/>
  <c r="C49" i="133" l="1"/>
  <c r="D58" i="127"/>
  <c r="E49" i="133"/>
  <c r="M26" i="141"/>
  <c r="K57" i="133"/>
  <c r="E44" i="127"/>
  <c r="E46" i="127" s="1"/>
  <c r="E58" i="127" s="1"/>
  <c r="F86" i="123"/>
  <c r="F91" i="123"/>
  <c r="F127" i="123"/>
  <c r="G91" i="123"/>
  <c r="D19" i="86"/>
  <c r="D22" i="86" s="1"/>
  <c r="D24" i="86" s="1"/>
  <c r="K33" i="88"/>
  <c r="K51" i="131"/>
  <c r="J51" i="131"/>
  <c r="L42" i="129"/>
  <c r="L55" i="129" s="1"/>
  <c r="L71" i="129"/>
  <c r="H44" i="127"/>
  <c r="H46" i="127" s="1"/>
  <c r="I8" i="123"/>
  <c r="P50" i="298"/>
  <c r="P53" i="298" s="1"/>
  <c r="D57" i="133"/>
  <c r="D49" i="133"/>
  <c r="F49" i="133"/>
  <c r="F57" i="133"/>
  <c r="H57" i="133"/>
  <c r="H49" i="133"/>
  <c r="G49" i="133"/>
  <c r="G57" i="133"/>
  <c r="C42" i="129"/>
  <c r="C55" i="129" s="1"/>
  <c r="D85" i="350"/>
  <c r="M113" i="123"/>
  <c r="K85" i="350"/>
  <c r="K114" i="123"/>
  <c r="K113" i="123"/>
  <c r="J114" i="123"/>
  <c r="H82" i="248"/>
  <c r="G113" i="123"/>
  <c r="G114" i="123"/>
  <c r="I113" i="123"/>
  <c r="I114" i="123"/>
  <c r="C82" i="248"/>
  <c r="C85" i="350"/>
  <c r="C85" i="248"/>
  <c r="D102" i="123" s="1"/>
  <c r="B55" i="86"/>
  <c r="C83" i="248"/>
  <c r="D58" i="123"/>
  <c r="D18" i="123" s="1"/>
  <c r="K5" i="123"/>
  <c r="J23" i="88"/>
  <c r="I45" i="86"/>
  <c r="K39" i="131"/>
  <c r="K40" i="131" s="1"/>
  <c r="K5" i="237" s="1"/>
  <c r="K89" i="123"/>
  <c r="J39" i="88"/>
  <c r="K7" i="123" s="1"/>
  <c r="K117" i="123" s="1"/>
  <c r="M56" i="95"/>
  <c r="I149" i="351"/>
  <c r="I36" i="127"/>
  <c r="H16" i="86"/>
  <c r="H18" i="86" s="1"/>
  <c r="M96" i="123"/>
  <c r="K86" i="349"/>
  <c r="M87" i="123"/>
  <c r="M131" i="123" s="1"/>
  <c r="L44" i="127"/>
  <c r="L46" i="127" s="1"/>
  <c r="L57" i="128" s="1"/>
  <c r="L62" i="128" s="1"/>
  <c r="L70" i="128" s="1"/>
  <c r="L81" i="128" s="1"/>
  <c r="L8" i="123"/>
  <c r="K91" i="123"/>
  <c r="K86" i="123"/>
  <c r="K130" i="123" s="1"/>
  <c r="K127" i="123"/>
  <c r="L26" i="141"/>
  <c r="J149" i="351"/>
  <c r="L91" i="123"/>
  <c r="M91" i="123"/>
  <c r="L127" i="123"/>
  <c r="J19" i="86"/>
  <c r="J22" i="86" s="1"/>
  <c r="J24" i="86" s="1"/>
  <c r="L86" i="123"/>
  <c r="K36" i="123"/>
  <c r="K9" i="123" s="1"/>
  <c r="L36" i="123"/>
  <c r="L9" i="123" s="1"/>
  <c r="K26" i="141"/>
  <c r="E33" i="88"/>
  <c r="E103" i="146"/>
  <c r="G46" i="88"/>
  <c r="G39" i="88" s="1"/>
  <c r="H7" i="123" s="1"/>
  <c r="H117" i="123" s="1"/>
  <c r="G93" i="255"/>
  <c r="G33" i="127" s="1"/>
  <c r="F44" i="127"/>
  <c r="F46" i="127" s="1"/>
  <c r="G8" i="123"/>
  <c r="I124" i="123"/>
  <c r="G42" i="129"/>
  <c r="G55" i="129" s="1"/>
  <c r="I6" i="123"/>
  <c r="G48" i="86"/>
  <c r="G50" i="86" s="1"/>
  <c r="G133" i="123"/>
  <c r="G134" i="123" s="1"/>
  <c r="G135" i="123" s="1"/>
  <c r="D19" i="237"/>
  <c r="C48" i="86"/>
  <c r="C50" i="86" s="1"/>
  <c r="E6" i="123"/>
  <c r="I19" i="237"/>
  <c r="H48" i="86"/>
  <c r="H50" i="86" s="1"/>
  <c r="J6" i="123"/>
  <c r="I97" i="134"/>
  <c r="E38" i="123"/>
  <c r="D44" i="123"/>
  <c r="E36" i="123" s="1"/>
  <c r="E9" i="123" s="1"/>
  <c r="D43" i="123"/>
  <c r="D11" i="123" s="1"/>
  <c r="D103" i="123" s="1"/>
  <c r="L113" i="123"/>
  <c r="L114" i="123"/>
  <c r="G85" i="350"/>
  <c r="I88" i="123"/>
  <c r="I132" i="123" s="1"/>
  <c r="I130" i="123"/>
  <c r="Q15" i="140"/>
  <c r="Q20" i="140" s="1"/>
  <c r="E15" i="294"/>
  <c r="E21" i="294" s="1"/>
  <c r="L21" i="126"/>
  <c r="L40" i="126" s="1"/>
  <c r="B10" i="86"/>
  <c r="E94" i="123"/>
  <c r="N6" i="140"/>
  <c r="N20" i="140" s="1"/>
  <c r="N39" i="140" s="1"/>
  <c r="O20" i="140"/>
  <c r="D6" i="294"/>
  <c r="D21" i="294" s="1"/>
  <c r="K21" i="126"/>
  <c r="K40" i="126" s="1"/>
  <c r="P6" i="140"/>
  <c r="P20" i="140" s="1"/>
  <c r="I16" i="86"/>
  <c r="I18" i="86" s="1"/>
  <c r="O33" i="137"/>
  <c r="J36" i="127"/>
  <c r="F114" i="123"/>
  <c r="F113" i="123"/>
  <c r="G88" i="123"/>
  <c r="G132" i="123" s="1"/>
  <c r="G131" i="123"/>
  <c r="C8" i="88"/>
  <c r="C32" i="88"/>
  <c r="C35" i="88"/>
  <c r="C34" i="88"/>
  <c r="C37" i="88"/>
  <c r="C19" i="88"/>
  <c r="C38" i="127"/>
  <c r="C42" i="127" s="1"/>
  <c r="C60" i="127"/>
  <c r="J48" i="88"/>
  <c r="J9" i="88" s="1"/>
  <c r="K52" i="123"/>
  <c r="K13" i="123" s="1"/>
  <c r="K122" i="123" s="1"/>
  <c r="K26" i="314"/>
  <c r="K12" i="123"/>
  <c r="K57" i="123"/>
  <c r="K18" i="123" s="1"/>
  <c r="J49" i="133"/>
  <c r="J57" i="133"/>
  <c r="H133" i="123"/>
  <c r="H134" i="123" s="1"/>
  <c r="H135" i="123" s="1"/>
  <c r="H124" i="123"/>
  <c r="K57" i="128"/>
  <c r="K62" i="128" s="1"/>
  <c r="K70" i="128" s="1"/>
  <c r="K81" i="128" s="1"/>
  <c r="K48" i="127"/>
  <c r="K58" i="127"/>
  <c r="I48" i="86"/>
  <c r="I50" i="86" s="1"/>
  <c r="J19" i="237"/>
  <c r="K6" i="123"/>
  <c r="C33" i="88"/>
  <c r="K103" i="146"/>
  <c r="L33" i="88"/>
  <c r="F71" i="129"/>
  <c r="F42" i="129"/>
  <c r="F55" i="129" s="1"/>
  <c r="D116" i="123"/>
  <c r="C36" i="237"/>
  <c r="C29" i="237" s="1"/>
  <c r="C32" i="237" s="1"/>
  <c r="C14" i="237" s="1"/>
  <c r="C18" i="237" s="1"/>
  <c r="C21" i="294"/>
  <c r="F6" i="123"/>
  <c r="E19" i="237"/>
  <c r="D48" i="86"/>
  <c r="D50" i="86" s="1"/>
  <c r="E48" i="127" l="1"/>
  <c r="E57" i="128"/>
  <c r="E62" i="128" s="1"/>
  <c r="E70" i="128" s="1"/>
  <c r="E81" i="128" s="1"/>
  <c r="M88" i="123"/>
  <c r="M132" i="123" s="1"/>
  <c r="F88" i="123"/>
  <c r="F132" i="123" s="1"/>
  <c r="F130" i="123"/>
  <c r="K6" i="237"/>
  <c r="K8" i="237" s="1"/>
  <c r="H48" i="127"/>
  <c r="H58" i="127"/>
  <c r="H57" i="128"/>
  <c r="H62" i="128" s="1"/>
  <c r="H70" i="128" s="1"/>
  <c r="H81" i="128" s="1"/>
  <c r="D113" i="123"/>
  <c r="D114" i="123"/>
  <c r="J45" i="86"/>
  <c r="L5" i="123"/>
  <c r="K23" i="88"/>
  <c r="K39" i="88"/>
  <c r="L7" i="123" s="1"/>
  <c r="L117" i="123" s="1"/>
  <c r="L39" i="131"/>
  <c r="L40" i="131" s="1"/>
  <c r="L5" i="237" s="1"/>
  <c r="L6" i="237" s="1"/>
  <c r="L8" i="237" s="1"/>
  <c r="K48" i="86" s="1"/>
  <c r="K50" i="86" s="1"/>
  <c r="I7" i="88"/>
  <c r="J121" i="123" s="1"/>
  <c r="I38" i="127"/>
  <c r="I42" i="127" s="1"/>
  <c r="J87" i="123"/>
  <c r="J96" i="123"/>
  <c r="H19" i="86"/>
  <c r="H22" i="86" s="1"/>
  <c r="H24" i="86" s="1"/>
  <c r="L58" i="127"/>
  <c r="L48" i="127"/>
  <c r="Q56" i="298" s="1"/>
  <c r="L88" i="123"/>
  <c r="L132" i="123" s="1"/>
  <c r="L130" i="123"/>
  <c r="F16" i="86"/>
  <c r="F18" i="86" s="1"/>
  <c r="G36" i="127"/>
  <c r="F48" i="127"/>
  <c r="F57" i="128"/>
  <c r="F62" i="128" s="1"/>
  <c r="F70" i="128" s="1"/>
  <c r="F81" i="128" s="1"/>
  <c r="F58" i="127"/>
  <c r="C44" i="127"/>
  <c r="C46" i="127" s="1"/>
  <c r="D8" i="123"/>
  <c r="P49" i="137"/>
  <c r="P48" i="299"/>
  <c r="F133" i="123"/>
  <c r="F134" i="123" s="1"/>
  <c r="F135" i="123" s="1"/>
  <c r="F124" i="123"/>
  <c r="C19" i="237"/>
  <c r="D6" i="123"/>
  <c r="B49" i="86"/>
  <c r="B50" i="86" s="1"/>
  <c r="K124" i="123"/>
  <c r="K133" i="123"/>
  <c r="K134" i="123" s="1"/>
  <c r="K135" i="123" s="1"/>
  <c r="C149" i="351"/>
  <c r="E26" i="141"/>
  <c r="C57" i="133"/>
  <c r="P39" i="140"/>
  <c r="P45" i="140"/>
  <c r="O45" i="140"/>
  <c r="O39" i="140"/>
  <c r="M57" i="123"/>
  <c r="M18" i="123" s="1"/>
  <c r="L48" i="88"/>
  <c r="L9" i="88" s="1"/>
  <c r="M52" i="123"/>
  <c r="M13" i="123" s="1"/>
  <c r="M122" i="123" s="1"/>
  <c r="M26" i="314"/>
  <c r="M12" i="123"/>
  <c r="K100" i="350"/>
  <c r="K97" i="134"/>
  <c r="J133" i="123"/>
  <c r="J134" i="123" s="1"/>
  <c r="J135" i="123" s="1"/>
  <c r="J124" i="123"/>
  <c r="K27" i="315"/>
  <c r="J38" i="127"/>
  <c r="J42" i="127" s="1"/>
  <c r="J7" i="88"/>
  <c r="K121" i="123" s="1"/>
  <c r="L52" i="123"/>
  <c r="L13" i="123" s="1"/>
  <c r="L122" i="123" s="1"/>
  <c r="J97" i="134"/>
  <c r="L12" i="123"/>
  <c r="L57" i="123"/>
  <c r="L18" i="123" s="1"/>
  <c r="L26" i="314"/>
  <c r="K48" i="88"/>
  <c r="K9" i="88" s="1"/>
  <c r="J100" i="350"/>
  <c r="E54" i="294"/>
  <c r="E60" i="294"/>
  <c r="N33" i="137"/>
  <c r="N36" i="137" s="1"/>
  <c r="N38" i="137" s="1"/>
  <c r="N42" i="137" s="1"/>
  <c r="N46" i="137" s="1"/>
  <c r="O36" i="137"/>
  <c r="O38" i="137" s="1"/>
  <c r="O42" i="137" s="1"/>
  <c r="O46" i="137" s="1"/>
  <c r="D60" i="294"/>
  <c r="D54" i="294"/>
  <c r="Q45" i="140"/>
  <c r="Q39" i="140"/>
  <c r="C54" i="294"/>
  <c r="C60" i="294"/>
  <c r="K87" i="123"/>
  <c r="I86" i="349"/>
  <c r="L96" i="123"/>
  <c r="I19" i="86"/>
  <c r="I22" i="86" s="1"/>
  <c r="I24" i="86" s="1"/>
  <c r="P56" i="298"/>
  <c r="D127" i="123"/>
  <c r="E91" i="123"/>
  <c r="D86" i="123"/>
  <c r="B19" i="86"/>
  <c r="B22" i="86" s="1"/>
  <c r="B24" i="86" s="1"/>
  <c r="E133" i="123"/>
  <c r="E134" i="123" s="1"/>
  <c r="E135" i="123" s="1"/>
  <c r="E124" i="123"/>
  <c r="J48" i="86" l="1"/>
  <c r="J50" i="86" s="1"/>
  <c r="L6" i="123"/>
  <c r="K19" i="237"/>
  <c r="L19" i="237"/>
  <c r="M124" i="123" s="1"/>
  <c r="M6" i="123"/>
  <c r="M5" i="123"/>
  <c r="K45" i="86"/>
  <c r="L23" i="88"/>
  <c r="L39" i="88"/>
  <c r="M7" i="123" s="1"/>
  <c r="M117" i="123" s="1"/>
  <c r="I44" i="127"/>
  <c r="I46" i="127" s="1"/>
  <c r="J8" i="123"/>
  <c r="J131" i="123"/>
  <c r="J88" i="123"/>
  <c r="J132" i="123" s="1"/>
  <c r="Q48" i="299"/>
  <c r="Q49" i="137"/>
  <c r="G58" i="133"/>
  <c r="G150" i="351"/>
  <c r="I27" i="315"/>
  <c r="G38" i="127"/>
  <c r="G42" i="127" s="1"/>
  <c r="G7" i="88"/>
  <c r="H121" i="123" s="1"/>
  <c r="H87" i="123"/>
  <c r="I96" i="123"/>
  <c r="F19" i="86"/>
  <c r="F22" i="86" s="1"/>
  <c r="F24" i="86" s="1"/>
  <c r="G86" i="349"/>
  <c r="H96" i="123"/>
  <c r="K96" i="123"/>
  <c r="D88" i="123"/>
  <c r="D132" i="123" s="1"/>
  <c r="D130" i="123"/>
  <c r="K131" i="123"/>
  <c r="K88" i="123"/>
  <c r="K132" i="123" s="1"/>
  <c r="J44" i="127"/>
  <c r="J46" i="127" s="1"/>
  <c r="K8" i="123"/>
  <c r="R45" i="246"/>
  <c r="C57" i="128"/>
  <c r="C62" i="128" s="1"/>
  <c r="C70" i="128" s="1"/>
  <c r="C81" i="128" s="1"/>
  <c r="C48" i="127"/>
  <c r="C58" i="127"/>
  <c r="D133" i="123"/>
  <c r="D134" i="123" s="1"/>
  <c r="D135" i="123" s="1"/>
  <c r="D124" i="123"/>
  <c r="M133" i="123" l="1"/>
  <c r="M134" i="123" s="1"/>
  <c r="M135" i="123" s="1"/>
  <c r="L133" i="123"/>
  <c r="L134" i="123" s="1"/>
  <c r="L135" i="123" s="1"/>
  <c r="L124" i="123"/>
  <c r="I57" i="128"/>
  <c r="I62" i="128" s="1"/>
  <c r="I70" i="128" s="1"/>
  <c r="I81" i="128" s="1"/>
  <c r="I48" i="127"/>
  <c r="H131" i="123"/>
  <c r="H88" i="123"/>
  <c r="H132" i="123" s="1"/>
  <c r="G44" i="127"/>
  <c r="G46" i="127" s="1"/>
  <c r="H8" i="123"/>
  <c r="J58" i="127"/>
  <c r="J57" i="128"/>
  <c r="J62" i="128" s="1"/>
  <c r="J70" i="128" s="1"/>
  <c r="J81" i="128" s="1"/>
  <c r="J48" i="127"/>
  <c r="G48" i="127" l="1"/>
  <c r="G58" i="127"/>
  <c r="G57" i="128"/>
  <c r="G62" i="128" s="1"/>
  <c r="G70" i="128" s="1"/>
  <c r="G81" i="128" s="1"/>
  <c r="O48" i="299"/>
  <c r="O49" i="137"/>
  <c r="I79" i="351"/>
  <c r="I74" i="351" s="1"/>
  <c r="I140" i="351" s="1"/>
  <c r="I150" i="351" l="1"/>
  <c r="I141" i="351"/>
  <c r="I31" i="133"/>
  <c r="I28" i="133" l="1"/>
  <c r="O31" i="298"/>
  <c r="N31" i="298" s="1"/>
  <c r="I48" i="133" l="1"/>
  <c r="O28" i="298"/>
  <c r="O48" i="298" l="1"/>
  <c r="O50" i="298" s="1"/>
  <c r="O53" i="298" s="1"/>
  <c r="O56" i="298" s="1"/>
  <c r="N28" i="298"/>
  <c r="N48" i="298" s="1"/>
  <c r="N50" i="298" s="1"/>
  <c r="N53" i="298" s="1"/>
  <c r="I49" i="133"/>
  <c r="I58" i="133"/>
</calcChain>
</file>

<file path=xl/comments1.xml><?xml version="1.0" encoding="utf-8"?>
<comments xmlns="http://schemas.openxmlformats.org/spreadsheetml/2006/main">
  <authors>
    <author>Kgothatso Matlala</author>
  </authors>
  <commentList>
    <comment ref="A47" authorId="0" shape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<sst xmlns="http://schemas.openxmlformats.org/spreadsheetml/2006/main" count="4266" uniqueCount="2431">
  <si>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</si>
  <si>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</si>
  <si>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</si>
  <si>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</si>
  <si>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</si>
  <si>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</si>
  <si>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</si>
  <si>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</si>
  <si>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</si>
  <si>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</si>
  <si>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</si>
  <si>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</si>
  <si>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</si>
  <si>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</si>
  <si>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</si>
  <si>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</si>
  <si>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</si>
  <si>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</si>
  <si>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</si>
  <si>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</si>
  <si>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</si>
  <si>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</si>
  <si>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</si>
  <si>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</si>
  <si>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</si>
  <si>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</si>
  <si>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</si>
  <si>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</si>
  <si>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</si>
  <si>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</si>
  <si>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</si>
  <si>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</si>
  <si>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</si>
  <si>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</si>
  <si>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</si>
  <si>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</si>
  <si>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</si>
  <si>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</si>
  <si>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</si>
  <si>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</si>
  <si>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</si>
  <si>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</si>
  <si>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</si>
  <si>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</si>
  <si>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</si>
  <si>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</si>
  <si>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</si>
  <si>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</si>
  <si>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</si>
  <si>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</si>
  <si>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</si>
  <si>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</si>
  <si>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</si>
  <si>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</si>
  <si>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</si>
  <si>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</si>
  <si>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</si>
  <si>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</si>
  <si>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</si>
  <si>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</si>
  <si>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</si>
  <si>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</si>
  <si>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</si>
  <si>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</si>
  <si>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</si>
  <si>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</si>
  <si>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</si>
  <si>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</si>
  <si>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</si>
  <si>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</si>
  <si>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</si>
  <si>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</si>
  <si>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</si>
  <si>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</si>
  <si>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</si>
  <si>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</si>
  <si>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</si>
  <si>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</si>
  <si>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</si>
  <si>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</si>
  <si>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</si>
  <si>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</si>
  <si>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</si>
  <si>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</si>
  <si>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</si>
  <si>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</si>
  <si>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</si>
  <si>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</si>
  <si>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</si>
  <si>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</si>
  <si>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</si>
  <si>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</si>
  <si>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</si>
  <si>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</si>
  <si>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</si>
  <si>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</si>
  <si>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</si>
  <si>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</si>
  <si>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</si>
  <si>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</si>
  <si>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</si>
  <si>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</si>
  <si>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</si>
  <si>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</si>
  <si>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</si>
  <si>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</si>
  <si>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</si>
  <si>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</si>
  <si>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</si>
  <si>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</si>
  <si>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</si>
  <si>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</si>
  <si>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</si>
  <si>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</si>
  <si>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</si>
  <si>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</si>
  <si>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</si>
  <si>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</si>
  <si>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</si>
  <si>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</si>
  <si>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</si>
  <si>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</si>
  <si>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</si>
  <si>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</si>
  <si>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</si>
  <si>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</si>
  <si>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</si>
  <si>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</si>
  <si>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</si>
  <si>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</si>
  <si>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</si>
  <si>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</si>
  <si>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</si>
  <si>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</si>
  <si>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</si>
  <si>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</si>
  <si>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</si>
  <si>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</si>
  <si>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</si>
  <si>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</si>
  <si>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</si>
  <si>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</si>
  <si>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</si>
  <si>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</si>
  <si>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</si>
  <si>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</si>
  <si>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</si>
  <si>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</si>
  <si>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</si>
  <si>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</si>
  <si>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</si>
  <si>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</si>
  <si>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</si>
  <si>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</si>
  <si>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</si>
  <si>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</si>
  <si>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</si>
  <si>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</si>
  <si>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</si>
  <si>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</si>
  <si>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</si>
  <si>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</si>
  <si>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</si>
  <si>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</si>
  <si>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</si>
  <si>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</si>
  <si>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</si>
  <si>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</si>
  <si>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</si>
  <si>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</si>
  <si>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</si>
  <si>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</si>
  <si>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</si>
  <si>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</si>
  <si>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</si>
  <si>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</si>
  <si>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</si>
  <si>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</si>
  <si>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</si>
  <si>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</si>
  <si>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</si>
  <si>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</si>
  <si>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</si>
  <si>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</si>
  <si>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</si>
  <si>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</si>
  <si>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</si>
  <si>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</si>
  <si>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</si>
  <si>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</si>
  <si>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</si>
  <si>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</si>
  <si>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</si>
  <si>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</si>
  <si>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</si>
  <si>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</si>
  <si>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</si>
  <si>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</si>
  <si>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</si>
  <si>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</si>
  <si>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</si>
  <si>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</si>
  <si>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</si>
  <si>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</si>
  <si>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</si>
  <si>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</si>
  <si>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</si>
  <si>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</si>
  <si>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</si>
  <si>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</si>
  <si>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</si>
  <si>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</si>
  <si>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</si>
  <si>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</si>
  <si>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</si>
  <si>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</si>
  <si>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</si>
  <si>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</si>
  <si>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</si>
  <si>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</si>
  <si>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</si>
  <si>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</si>
  <si>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</si>
  <si>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</si>
  <si>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</si>
  <si>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</si>
  <si>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</si>
  <si>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</si>
  <si>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</si>
  <si>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</si>
  <si>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</si>
  <si>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</si>
  <si>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</si>
  <si>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</si>
  <si>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</si>
  <si>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</si>
  <si>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</si>
  <si>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</si>
  <si>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</si>
  <si>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</si>
  <si>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</si>
  <si>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</si>
  <si>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</si>
  <si>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</si>
  <si>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</si>
  <si>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</si>
  <si>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</si>
  <si>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</si>
  <si>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</si>
  <si>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</si>
  <si>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</si>
  <si>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</si>
  <si>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</si>
  <si>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</si>
  <si>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</si>
  <si>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</si>
  <si>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</si>
  <si>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</si>
  <si>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</si>
  <si>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</si>
  <si>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</si>
  <si>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</si>
  <si>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</si>
  <si>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</si>
  <si>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</si>
  <si>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</si>
  <si>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</si>
  <si>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</si>
  <si>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</si>
  <si>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</si>
  <si>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</si>
  <si>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</si>
  <si>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</si>
  <si>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</si>
  <si>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</si>
  <si>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</si>
  <si>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</si>
  <si>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</si>
  <si>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</si>
  <si>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</si>
  <si>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</si>
  <si>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</si>
  <si>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</si>
  <si>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</si>
  <si>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</si>
  <si>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</si>
  <si>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</si>
  <si>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</si>
  <si>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</si>
  <si>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</si>
  <si>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</si>
  <si>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</si>
  <si>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</si>
  <si>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</si>
  <si>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</si>
  <si>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</si>
  <si>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</si>
  <si>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</si>
  <si>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</si>
  <si>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</si>
  <si>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</si>
  <si>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</si>
  <si>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</si>
  <si>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</si>
  <si>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</si>
  <si>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</si>
  <si>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</si>
  <si>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</si>
  <si>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</si>
  <si>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</si>
  <si>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</si>
  <si>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</si>
  <si>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</si>
  <si>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</si>
  <si>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</si>
  <si>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</si>
  <si>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</si>
  <si>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</si>
  <si>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</si>
  <si>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</si>
  <si>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</si>
  <si>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</si>
  <si>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</si>
  <si>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</si>
  <si>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</si>
  <si>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</si>
  <si>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</si>
  <si>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</si>
  <si>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</si>
  <si>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</si>
  <si>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</si>
  <si>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</si>
  <si>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</si>
  <si>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</si>
  <si>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</si>
  <si>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</si>
  <si>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</si>
  <si>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</si>
  <si>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</si>
  <si>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</si>
  <si>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</si>
  <si>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</si>
  <si>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</si>
  <si>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</si>
  <si>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</si>
  <si>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</si>
  <si>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</si>
  <si>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</si>
  <si>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</si>
  <si>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</si>
  <si>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</si>
  <si>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</si>
  <si>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</si>
  <si>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</si>
  <si>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</si>
  <si>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</si>
  <si>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</si>
  <si>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</si>
  <si>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</si>
  <si>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</si>
  <si>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</si>
  <si>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</si>
  <si>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</si>
  <si>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</si>
  <si>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</si>
  <si>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</si>
  <si>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</si>
  <si>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</si>
  <si>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</si>
  <si>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</si>
  <si>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</si>
  <si>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</si>
  <si>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</si>
  <si>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</si>
  <si>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</si>
  <si>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</si>
  <si>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</si>
  <si>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</si>
  <si>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</si>
  <si>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</si>
  <si>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</si>
  <si>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</si>
  <si>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</si>
  <si>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</si>
  <si>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</si>
  <si>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</si>
  <si>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</si>
  <si>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</si>
  <si>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</si>
  <si>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</si>
  <si>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</si>
  <si>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</si>
  <si>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</si>
  <si>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</si>
  <si>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</si>
  <si>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</si>
  <si>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</si>
  <si>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</si>
  <si>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</si>
  <si>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</si>
  <si>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</si>
  <si>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</si>
  <si>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</si>
  <si>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</si>
  <si>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</si>
  <si>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</si>
  <si>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</si>
  <si>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</si>
  <si>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</si>
  <si>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</si>
  <si>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</si>
  <si>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</si>
  <si>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</si>
  <si>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</si>
  <si>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</si>
  <si>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</si>
  <si>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</si>
  <si>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</si>
  <si>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</si>
  <si>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</si>
  <si>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</si>
  <si>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</si>
  <si>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</si>
  <si>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</si>
  <si>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</si>
  <si>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</si>
  <si>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</si>
  <si>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</si>
  <si>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</si>
  <si>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</si>
  <si>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</si>
  <si>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</si>
  <si>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</si>
  <si>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</si>
  <si>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</si>
  <si>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</si>
  <si>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</si>
  <si>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</si>
  <si>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</si>
  <si>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</si>
  <si>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</si>
  <si>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</si>
  <si>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</si>
  <si>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</si>
  <si>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</si>
  <si>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</si>
  <si>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</si>
  <si>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</si>
  <si>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</si>
  <si>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</si>
  <si>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</si>
  <si>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</si>
  <si>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</si>
  <si>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</si>
  <si>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</si>
  <si>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</si>
  <si>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</si>
  <si>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</si>
  <si>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</si>
  <si>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</si>
  <si>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</si>
  <si>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</si>
  <si>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</si>
  <si>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</si>
  <si>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</si>
  <si>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</si>
  <si>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</si>
  <si>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</si>
  <si>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</si>
  <si>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</si>
  <si>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</si>
  <si>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</si>
  <si>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</si>
  <si>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</si>
  <si>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</si>
  <si>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</si>
  <si>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</si>
  <si>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</si>
  <si>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</si>
  <si>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</si>
  <si>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</si>
  <si>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</si>
  <si>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</si>
  <si>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</si>
  <si>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</si>
  <si>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</si>
  <si>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</si>
  <si>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</si>
  <si>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</si>
  <si>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</si>
  <si>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</si>
  <si>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</si>
  <si>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</si>
  <si>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</si>
  <si>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</si>
  <si>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</si>
  <si>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</si>
  <si>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</si>
  <si>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</si>
  <si>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</si>
  <si>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</si>
  <si>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</si>
  <si>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</si>
  <si>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</si>
  <si>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</si>
  <si>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</si>
  <si>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</si>
  <si>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</si>
  <si>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</si>
  <si>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</si>
  <si>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</si>
  <si>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</si>
  <si>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</si>
  <si>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</si>
  <si>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</si>
  <si>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</si>
  <si>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</si>
  <si>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</si>
  <si>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</si>
  <si>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</si>
  <si>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</si>
  <si>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</si>
  <si>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</si>
  <si>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</si>
  <si>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</si>
  <si>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</si>
  <si>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</si>
  <si>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</si>
  <si>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</si>
  <si>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</si>
  <si>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</si>
  <si>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</si>
  <si>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</si>
  <si>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</si>
  <si>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</si>
  <si>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</si>
  <si>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</si>
  <si>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</si>
  <si>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</si>
  <si>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</si>
  <si>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</si>
  <si>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</si>
  <si>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</si>
  <si>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</si>
  <si>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</si>
  <si>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</si>
  <si>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</si>
  <si>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</si>
  <si>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</si>
  <si>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</si>
  <si>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</si>
  <si>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</si>
  <si>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</si>
  <si>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</si>
  <si>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</si>
  <si>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</si>
  <si>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</si>
  <si>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</si>
  <si>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</si>
  <si>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</si>
  <si>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</si>
  <si>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</si>
  <si>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</si>
  <si>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</si>
  <si>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</si>
  <si>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</si>
  <si>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</si>
  <si>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</si>
  <si>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</si>
  <si>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</si>
  <si>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</si>
  <si>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</si>
  <si>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</si>
  <si>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</si>
  <si>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</si>
  <si>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</si>
  <si>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</si>
  <si>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</si>
  <si>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</si>
  <si>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</si>
  <si>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</si>
  <si>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</si>
  <si>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</si>
  <si>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</si>
  <si>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</si>
  <si>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</si>
  <si>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</si>
  <si>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</si>
  <si>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</si>
  <si>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</si>
  <si>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</si>
  <si>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</si>
  <si>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</si>
  <si>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</si>
  <si>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</si>
  <si>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</si>
  <si>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</si>
  <si>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</si>
  <si>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</si>
  <si>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</si>
  <si>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</si>
  <si>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</si>
  <si>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</si>
  <si>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</si>
  <si>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</si>
  <si>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</si>
  <si>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</si>
  <si>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</si>
  <si>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</si>
  <si>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</si>
  <si>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</si>
  <si>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</si>
  <si>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</si>
  <si>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</si>
  <si>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</si>
  <si>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</si>
  <si>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</si>
  <si>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</si>
  <si>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</si>
  <si>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</si>
  <si>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</si>
  <si>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</si>
  <si>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</si>
  <si>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</si>
  <si>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</si>
  <si>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</si>
  <si>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</si>
  <si>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</si>
  <si>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</si>
  <si>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</si>
  <si>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</si>
  <si>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</si>
  <si>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</si>
  <si>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</si>
  <si>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</si>
  <si>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</si>
  <si>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</si>
  <si>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</si>
  <si>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</si>
  <si>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</si>
  <si>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</si>
  <si>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</si>
  <si>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</si>
  <si>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</si>
  <si>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</si>
  <si>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</si>
  <si>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</si>
  <si>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</si>
  <si>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</si>
  <si>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</si>
  <si>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</si>
  <si>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</si>
  <si>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</si>
  <si>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</si>
  <si>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</si>
  <si>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</si>
  <si>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</si>
  <si>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</si>
  <si>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</si>
  <si>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</si>
  <si>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</si>
  <si>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</si>
  <si>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</si>
  <si>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</si>
  <si>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</si>
  <si>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</si>
  <si>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</si>
  <si>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</si>
  <si>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</si>
  <si>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</si>
  <si>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</si>
  <si>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</si>
  <si>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</si>
  <si>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</si>
  <si>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</si>
  <si>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</si>
  <si>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</si>
  <si>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</si>
  <si>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</si>
  <si>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</si>
  <si>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</si>
  <si>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</si>
  <si>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</si>
  <si>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</si>
  <si>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</si>
  <si>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</si>
  <si>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</si>
  <si>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</si>
  <si>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</si>
  <si>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</si>
  <si>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</si>
  <si>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</si>
  <si>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</si>
  <si>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</si>
  <si>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</si>
  <si>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</si>
  <si>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</si>
  <si>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</si>
  <si>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</si>
  <si>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</si>
  <si>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</si>
  <si>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</si>
  <si>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</si>
  <si>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</si>
  <si>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</si>
  <si>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</si>
  <si>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</si>
  <si>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</si>
  <si>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</si>
  <si>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</si>
  <si>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</si>
  <si>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</si>
  <si>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</si>
  <si>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</si>
  <si>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</si>
  <si>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</si>
  <si>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</si>
  <si>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</si>
  <si>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</si>
  <si>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</si>
  <si>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</si>
  <si>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</si>
  <si>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</si>
  <si>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</si>
  <si>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</si>
  <si>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</si>
  <si>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</si>
  <si>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</si>
  <si>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</si>
  <si>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</si>
  <si>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</si>
  <si>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</si>
  <si>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</si>
  <si>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</si>
  <si>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</si>
  <si>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</si>
  <si>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</si>
  <si>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</si>
  <si>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</si>
  <si>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</si>
  <si>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</si>
  <si>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</si>
  <si>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</si>
  <si>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</si>
  <si>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</si>
  <si>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</si>
  <si>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</si>
  <si>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</si>
  <si>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</si>
  <si>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</si>
  <si>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</si>
  <si>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</si>
  <si>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</si>
  <si>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</si>
  <si>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</si>
  <si>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</si>
  <si>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</si>
  <si>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</si>
  <si>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</si>
  <si>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</si>
  <si>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</si>
  <si>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</si>
  <si>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</si>
  <si>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</si>
  <si>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</si>
  <si>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</si>
  <si>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</si>
  <si>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</si>
  <si>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</si>
  <si>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</si>
  <si>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</si>
  <si>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</si>
  <si>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</si>
  <si>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</si>
  <si>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</si>
  <si>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</si>
  <si>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</si>
  <si>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</si>
  <si>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</si>
  <si>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</si>
  <si>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</si>
  <si>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</si>
  <si>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</si>
  <si>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</si>
  <si>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</si>
  <si>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</si>
  <si>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</si>
  <si>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</si>
  <si>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</si>
  <si>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</si>
  <si>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</si>
  <si>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</si>
  <si>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</si>
  <si>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</si>
  <si>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</si>
  <si>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</si>
  <si>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</si>
  <si>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</si>
  <si>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</si>
  <si>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</si>
  <si>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</si>
  <si>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</si>
  <si>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</si>
  <si>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</si>
  <si>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</si>
  <si>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</si>
  <si>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</si>
  <si>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</si>
  <si>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</si>
  <si>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</si>
  <si>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</si>
  <si>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</si>
  <si>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</si>
  <si>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</si>
  <si>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</si>
  <si>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</si>
  <si>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</si>
  <si>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</si>
  <si>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</si>
  <si>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</si>
  <si>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</si>
  <si>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</si>
  <si>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</si>
  <si>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</si>
  <si>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</si>
  <si>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</si>
  <si>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</si>
  <si>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</si>
  <si>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</si>
  <si>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</si>
  <si>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</si>
  <si>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</si>
  <si>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</si>
  <si>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</si>
  <si>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</si>
  <si>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</si>
  <si>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</si>
  <si>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</si>
  <si>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</si>
  <si>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</si>
  <si>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</si>
  <si>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</si>
  <si>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</si>
  <si>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</si>
  <si>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</si>
  <si>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</si>
  <si>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</si>
  <si>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</si>
  <si>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</si>
  <si>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</si>
  <si>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</si>
  <si>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</si>
  <si>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</si>
  <si>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</si>
  <si>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</si>
  <si>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</si>
  <si>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</si>
  <si>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</si>
  <si>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</si>
  <si>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</si>
  <si>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</si>
  <si>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</si>
  <si>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</si>
  <si>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</si>
  <si>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</si>
  <si>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</si>
  <si>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</si>
  <si>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</si>
  <si>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</si>
  <si>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</si>
  <si>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</si>
  <si>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</si>
  <si>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</si>
  <si>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</si>
  <si>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</si>
  <si>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</si>
  <si>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</si>
  <si>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</si>
  <si>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</si>
  <si>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</si>
  <si>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</si>
  <si>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</si>
  <si>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</si>
  <si>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</si>
  <si>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</si>
  <si>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</si>
  <si>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</si>
  <si>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</si>
  <si>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</si>
  <si>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</si>
  <si>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</si>
  <si>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</si>
  <si>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</si>
  <si>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</si>
  <si>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</si>
  <si>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</si>
  <si>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</si>
  <si>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</si>
  <si>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</si>
  <si>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</si>
  <si>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</si>
  <si>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</si>
  <si>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</si>
  <si>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</si>
  <si>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</si>
  <si>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</si>
  <si>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</si>
  <si>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</si>
  <si>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</si>
  <si>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</si>
  <si>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</si>
  <si>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</si>
  <si>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</si>
  <si>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</si>
  <si>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</si>
  <si>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</si>
  <si>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</si>
  <si>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</si>
  <si>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</si>
  <si>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</si>
  <si>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</si>
  <si>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</si>
  <si>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</si>
  <si>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</si>
  <si>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</si>
  <si>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</si>
  <si>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</si>
  <si>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</si>
  <si>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</si>
  <si>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</si>
  <si>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</si>
  <si>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</si>
  <si>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</si>
  <si>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</si>
  <si>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</si>
  <si>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</si>
  <si>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</si>
  <si>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</si>
  <si>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</si>
  <si>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</si>
  <si>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</si>
  <si>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</si>
  <si>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</si>
  <si>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</si>
  <si>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</si>
  <si>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</si>
  <si>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</si>
  <si>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</si>
  <si>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</si>
  <si>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</si>
  <si>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</si>
  <si>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</si>
  <si>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</si>
  <si>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</si>
  <si>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</si>
  <si>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</si>
  <si>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</si>
  <si>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</si>
  <si>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</si>
  <si>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</si>
  <si>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</si>
  <si>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</si>
  <si>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</si>
  <si>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</si>
  <si>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</si>
  <si>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</si>
  <si>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</si>
  <si>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</si>
  <si>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</si>
  <si>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</si>
  <si>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</si>
  <si>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</si>
  <si>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</si>
  <si>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</si>
  <si>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</si>
  <si>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</si>
  <si>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</si>
  <si>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</si>
  <si>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</si>
  <si>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</si>
  <si>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</si>
  <si>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</si>
  <si>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</si>
  <si>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</si>
  <si>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</si>
  <si>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</si>
  <si>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</si>
  <si>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</si>
  <si>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</si>
  <si>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</si>
  <si>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</si>
  <si>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</si>
  <si>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</si>
  <si>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</si>
  <si>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</si>
  <si>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</si>
  <si>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</si>
  <si>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</si>
  <si>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</si>
  <si>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</si>
  <si>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</si>
  <si>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</si>
  <si>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</si>
  <si>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</si>
  <si>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</si>
  <si>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</si>
  <si>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</si>
  <si>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</si>
  <si>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</si>
  <si>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</si>
  <si>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</si>
  <si>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</si>
  <si>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</si>
  <si>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</si>
  <si>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</si>
  <si>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</si>
  <si>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</si>
  <si>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</si>
  <si>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</si>
  <si>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</si>
  <si>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</si>
  <si>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</si>
  <si>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</si>
  <si>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</si>
  <si>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</si>
  <si>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</si>
  <si>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</si>
  <si>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</si>
  <si>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</si>
  <si>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</si>
  <si>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</si>
  <si>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</si>
  <si>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</si>
  <si>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</si>
  <si>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</si>
  <si>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</si>
  <si>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</si>
  <si>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</si>
  <si>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</si>
  <si>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</si>
  <si>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</si>
  <si>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</si>
  <si>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</si>
  <si>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</si>
  <si>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</si>
  <si>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</si>
  <si>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</si>
  <si>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</si>
  <si>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</si>
  <si>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</si>
  <si>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</si>
  <si>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</si>
  <si>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</si>
  <si>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</si>
  <si>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</si>
  <si>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</si>
  <si>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</si>
  <si>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</si>
  <si>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</si>
  <si>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</si>
  <si>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</si>
  <si>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</si>
  <si>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</si>
  <si>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</si>
  <si>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</si>
  <si>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</si>
  <si>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</si>
  <si>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</si>
  <si>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</si>
  <si>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</si>
  <si>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</si>
  <si>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</si>
  <si>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</si>
  <si>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</si>
  <si>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</si>
  <si>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</si>
  <si>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</si>
  <si>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</si>
  <si>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</si>
  <si>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</si>
  <si>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</si>
  <si>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</si>
  <si>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</si>
  <si>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</si>
  <si>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</si>
  <si>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</si>
  <si>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</si>
  <si>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</si>
  <si>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</si>
  <si>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</si>
  <si>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</si>
  <si>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</si>
  <si>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</si>
  <si>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</si>
  <si>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</si>
  <si>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</si>
  <si>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</si>
  <si>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</si>
  <si>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</si>
  <si>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</si>
  <si>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</si>
  <si>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</si>
  <si>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</si>
  <si>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</si>
  <si>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</si>
  <si>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</si>
  <si>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</si>
  <si>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</si>
  <si>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</si>
  <si>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</si>
  <si>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</si>
  <si>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</si>
  <si>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</si>
  <si>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</si>
  <si>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</si>
  <si>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</si>
  <si>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</si>
  <si>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</si>
  <si>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</si>
  <si>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</si>
  <si>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</si>
  <si>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</si>
  <si>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</si>
  <si>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</si>
  <si>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</si>
  <si>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</si>
  <si>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</si>
  <si>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</si>
  <si>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</si>
  <si>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</si>
  <si>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</si>
  <si>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</si>
  <si>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</si>
  <si>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</si>
  <si>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</si>
  <si>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</si>
  <si>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</si>
  <si>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</si>
  <si>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</si>
  <si>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</si>
  <si>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</si>
  <si>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</si>
  <si>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</si>
  <si>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</si>
  <si>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</si>
  <si>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</si>
  <si>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</si>
  <si>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</si>
  <si>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</si>
  <si>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</si>
  <si>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</si>
  <si>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</si>
  <si>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</si>
  <si>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</si>
  <si>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</si>
  <si>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</si>
  <si>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</si>
  <si>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</si>
  <si>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</si>
  <si>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</si>
  <si>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</si>
  <si>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</si>
  <si>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</si>
  <si>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</si>
  <si>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</si>
  <si>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</si>
  <si>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</si>
  <si>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</si>
  <si>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</si>
  <si>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</si>
  <si>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</si>
  <si>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</si>
  <si>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</si>
  <si>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</si>
  <si>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</si>
  <si>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</si>
  <si>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</si>
  <si>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</si>
  <si>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</si>
  <si>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</si>
  <si>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</si>
  <si>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</si>
  <si>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</si>
  <si>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</si>
  <si>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</si>
  <si>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</si>
  <si>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</si>
  <si>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</si>
  <si>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</si>
  <si>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</si>
  <si>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</si>
  <si>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</si>
  <si>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</si>
  <si>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</si>
  <si>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</si>
  <si>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</si>
  <si>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</si>
  <si>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</si>
  <si>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</si>
  <si>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</si>
  <si>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</si>
  <si>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</si>
  <si>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</si>
  <si>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</si>
  <si>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</si>
  <si>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</si>
  <si>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</si>
  <si>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</si>
  <si>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</si>
  <si>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</si>
  <si>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</si>
  <si>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</si>
  <si>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</si>
  <si>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</si>
  <si>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</si>
  <si>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</si>
  <si>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</si>
  <si>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</si>
  <si>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</si>
  <si>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</si>
  <si>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</si>
  <si>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</si>
  <si>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</si>
  <si>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</si>
  <si>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</si>
  <si>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</si>
  <si>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</si>
  <si>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</si>
  <si>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</si>
  <si>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</si>
  <si>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</si>
  <si>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</si>
  <si>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</si>
  <si>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</si>
  <si>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</si>
  <si>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</si>
  <si>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</si>
  <si>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</si>
  <si>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</si>
  <si>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</si>
  <si>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</si>
  <si>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</si>
  <si>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</si>
  <si>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</si>
  <si>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</si>
  <si>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</si>
  <si>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</si>
  <si>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</si>
  <si>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</si>
  <si>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</si>
  <si>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</si>
  <si>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</si>
  <si>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</si>
  <si>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</si>
  <si>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</si>
  <si>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</si>
  <si>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</si>
  <si>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</si>
  <si>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</si>
  <si>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</si>
  <si>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</si>
  <si>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</si>
  <si>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</si>
  <si>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</si>
  <si>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</si>
  <si>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</si>
  <si>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</si>
  <si>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</si>
  <si>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</si>
  <si>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</si>
  <si>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</si>
  <si>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</si>
  <si>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</si>
  <si>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</si>
  <si>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</si>
  <si>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</si>
  <si>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</si>
  <si>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</si>
  <si>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</si>
  <si>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</si>
  <si>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</si>
  <si>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</si>
  <si>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</si>
  <si>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</si>
  <si>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</si>
  <si>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</si>
  <si>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</si>
  <si>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</si>
  <si>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</si>
  <si>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</si>
  <si>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</si>
  <si>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</si>
  <si>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</si>
  <si>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</si>
  <si>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</si>
  <si>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</si>
  <si>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</si>
  <si>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</si>
  <si>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</si>
  <si>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</si>
  <si>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</si>
  <si>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</si>
  <si>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</si>
  <si>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</si>
  <si>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</si>
  <si>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</si>
  <si>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</si>
  <si>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</si>
  <si>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</si>
  <si>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</si>
  <si>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</si>
  <si>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</si>
  <si>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</si>
  <si>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</si>
  <si>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</si>
  <si>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</si>
  <si>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</si>
  <si>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</si>
  <si>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</si>
  <si>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</si>
  <si>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</si>
  <si>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</si>
  <si>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</si>
  <si>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</si>
  <si>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</si>
  <si>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</si>
  <si>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</si>
  <si>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</si>
  <si>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</si>
  <si>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</si>
  <si>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</si>
  <si>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</si>
  <si>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</si>
  <si>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</si>
  <si>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</si>
  <si>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</si>
  <si>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</si>
  <si>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</si>
  <si>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</si>
  <si>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</si>
  <si>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</si>
  <si>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</si>
  <si>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</si>
  <si>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</si>
  <si>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</si>
  <si>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</si>
  <si>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</si>
  <si>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</si>
  <si>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</si>
  <si>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</si>
  <si>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</si>
  <si>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</si>
  <si>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</si>
  <si>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</si>
  <si>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</si>
  <si>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</si>
  <si>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</si>
  <si>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</si>
  <si>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</si>
  <si>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</si>
  <si>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</si>
  <si>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</si>
  <si>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</si>
  <si>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</si>
  <si>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</si>
  <si>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</si>
  <si>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</si>
  <si>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</si>
  <si>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</si>
  <si>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</si>
  <si>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</si>
  <si>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</si>
  <si>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</si>
  <si>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</si>
  <si>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</si>
  <si>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</si>
  <si>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</si>
  <si>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</si>
  <si>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</si>
  <si>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</si>
  <si>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</si>
  <si>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</si>
  <si>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</si>
  <si>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</si>
  <si>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</si>
  <si>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</si>
  <si>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</si>
  <si>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</si>
  <si>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</si>
  <si>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</si>
  <si>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</si>
  <si>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</si>
  <si>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</si>
  <si>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</si>
  <si>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</si>
  <si>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</si>
  <si>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</si>
  <si>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</si>
  <si>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</si>
  <si>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</si>
  <si>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</si>
  <si>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</si>
  <si>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</si>
  <si>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</si>
  <si>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</si>
  <si>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</si>
  <si>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</si>
  <si>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</si>
  <si>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</si>
  <si>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</si>
  <si>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</si>
  <si>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</si>
  <si>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</si>
  <si>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</si>
  <si>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</si>
  <si>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</si>
  <si>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</si>
  <si>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</si>
  <si>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</si>
  <si>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</si>
  <si>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</si>
  <si>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</si>
  <si>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</si>
  <si>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</si>
  <si>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</si>
  <si>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</si>
  <si>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</si>
  <si>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</si>
  <si>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</si>
  <si>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</si>
  <si>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</si>
  <si>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</si>
  <si>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</si>
  <si>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</si>
  <si>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</si>
  <si>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</si>
  <si>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</si>
  <si>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</si>
  <si>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</si>
  <si>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</si>
  <si>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</si>
  <si>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</si>
  <si>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</si>
  <si>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</si>
  <si>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</si>
  <si>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</si>
  <si>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</si>
  <si>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</si>
  <si>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</si>
  <si>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</si>
  <si>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</si>
  <si>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</si>
  <si>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</si>
  <si>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</si>
  <si>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</si>
  <si>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</si>
  <si>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</si>
  <si>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</si>
  <si>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</si>
  <si>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</si>
  <si>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</si>
  <si>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</si>
  <si>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</si>
  <si>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</si>
  <si>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</si>
  <si>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</si>
  <si>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</si>
  <si>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</si>
  <si>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</si>
  <si>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</si>
  <si>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</si>
  <si>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</si>
  <si>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</si>
  <si>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</si>
  <si>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</si>
  <si>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</si>
  <si>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</si>
  <si>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</si>
  <si>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</si>
  <si>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</si>
  <si>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</si>
  <si>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</si>
  <si>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</si>
  <si>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</si>
  <si>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</si>
  <si>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</si>
  <si>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</si>
  <si>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</si>
  <si>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</si>
  <si>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</si>
  <si>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</si>
  <si>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</si>
  <si>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</si>
  <si>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</si>
  <si>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</si>
  <si>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</si>
  <si>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</si>
  <si>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</si>
  <si>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</si>
  <si>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</si>
  <si>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</si>
  <si>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</si>
  <si>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</si>
  <si>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</si>
  <si>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</si>
  <si>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</si>
  <si>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</si>
  <si>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</si>
  <si>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</si>
  <si>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</si>
  <si>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</si>
  <si>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</si>
  <si>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</si>
  <si>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</si>
  <si>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</si>
  <si>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</si>
  <si>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</si>
  <si>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</si>
  <si>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</si>
  <si>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</si>
  <si>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</si>
  <si>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</si>
  <si>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</si>
  <si>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</si>
  <si>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</si>
  <si>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</si>
  <si>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</si>
  <si>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</si>
  <si>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</si>
  <si>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</si>
  <si>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</si>
  <si>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</si>
  <si>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</si>
  <si>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</si>
  <si>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</si>
  <si>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</si>
  <si>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</si>
  <si>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</si>
  <si>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</si>
  <si>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</si>
  <si>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</si>
  <si>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</si>
  <si>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</si>
  <si>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</si>
  <si>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</si>
  <si>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</si>
  <si>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</si>
  <si>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</si>
  <si>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</si>
  <si>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</si>
  <si>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</si>
  <si>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</si>
  <si>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</si>
  <si>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</si>
  <si>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</si>
  <si>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</si>
  <si>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</si>
  <si>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</si>
  <si>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</si>
  <si>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</si>
  <si>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</si>
  <si>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</si>
  <si>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</si>
  <si>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</si>
  <si>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</si>
  <si>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</si>
  <si>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</si>
  <si>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</si>
  <si>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</si>
  <si>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</si>
  <si>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</si>
  <si>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</si>
  <si>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</si>
  <si>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</si>
  <si>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</si>
  <si>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</si>
  <si>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</si>
  <si>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</si>
  <si>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</si>
  <si>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</si>
  <si>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</si>
  <si>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</si>
  <si>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</si>
  <si>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</si>
  <si>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</si>
  <si>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</si>
  <si>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</si>
  <si>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</si>
  <si>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</si>
  <si>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</si>
  <si>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</si>
  <si>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</si>
  <si>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</si>
  <si>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</si>
  <si>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</si>
  <si>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</si>
  <si>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</si>
  <si>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</si>
  <si>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</si>
  <si>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</si>
  <si>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</si>
  <si>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</si>
  <si>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</si>
  <si>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</si>
  <si>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</si>
  <si>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</si>
  <si>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</si>
  <si>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</si>
  <si>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</si>
  <si>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</si>
  <si>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</si>
  <si>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</si>
  <si>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</si>
  <si>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</si>
  <si>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</si>
  <si>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</si>
  <si>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</si>
  <si>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</si>
  <si>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</si>
  <si>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</si>
  <si>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</si>
  <si>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</si>
  <si>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</si>
  <si>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</si>
  <si>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</si>
  <si>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</si>
  <si>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</si>
  <si>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</si>
  <si>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</si>
  <si>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</si>
  <si>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</si>
  <si>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</si>
  <si>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</si>
  <si>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</si>
  <si>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</si>
  <si>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</si>
  <si>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</si>
  <si>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</si>
  <si>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</si>
  <si>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</si>
  <si>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</si>
  <si>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</si>
  <si>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</si>
  <si>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</si>
  <si>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</si>
  <si>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</si>
  <si>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</si>
  <si>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</si>
  <si>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</si>
  <si>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</si>
  <si>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</si>
  <si>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</si>
  <si>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</si>
  <si>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</si>
  <si>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</si>
  <si>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</si>
  <si>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</si>
  <si>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</si>
  <si>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</si>
  <si>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</si>
  <si>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</si>
  <si>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</si>
  <si>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</si>
  <si>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</si>
  <si>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</si>
  <si>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</si>
  <si>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</si>
  <si>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</si>
  <si>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</si>
  <si>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</si>
  <si>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</si>
  <si>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</si>
  <si>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</si>
  <si>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</si>
  <si>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</si>
  <si>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</si>
  <si>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</si>
  <si>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</si>
  <si>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</si>
  <si>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</si>
  <si>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</si>
  <si>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</si>
  <si>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</si>
  <si>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</si>
  <si>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</si>
  <si>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</si>
  <si>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</si>
  <si>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</si>
  <si>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</si>
  <si>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</si>
  <si>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</si>
  <si>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</si>
  <si>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</si>
  <si>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</si>
  <si>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</si>
  <si>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</si>
  <si>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</si>
  <si>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</si>
  <si>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</si>
  <si>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</si>
  <si>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</si>
  <si>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</si>
  <si>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</si>
  <si>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</si>
  <si>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</si>
  <si>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</si>
  <si>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</si>
  <si>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</si>
  <si>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</si>
  <si>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</si>
  <si>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</si>
  <si>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</si>
  <si>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</si>
  <si>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</si>
  <si>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</si>
  <si>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</si>
  <si>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</si>
  <si>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</si>
  <si>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</si>
  <si>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</si>
  <si>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</si>
  <si>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</si>
  <si>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</si>
  <si>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</si>
  <si>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</si>
  <si>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</si>
  <si>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</si>
  <si>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</si>
  <si>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</si>
  <si>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</si>
  <si>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</si>
  <si>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</si>
  <si>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</si>
  <si>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</si>
  <si>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</si>
  <si>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</si>
  <si>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</si>
  <si>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</si>
  <si>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</si>
  <si>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</si>
  <si>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</si>
  <si>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</si>
  <si>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</si>
  <si>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</si>
  <si>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</si>
  <si>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</si>
  <si>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</si>
  <si>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</si>
  <si>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</si>
  <si>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</si>
  <si>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</si>
  <si>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</si>
  <si>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</si>
  <si>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</si>
  <si>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</si>
  <si>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</si>
  <si>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</si>
  <si>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</si>
  <si>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</si>
  <si>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</si>
  <si>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</si>
  <si>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</si>
  <si>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</si>
  <si>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</si>
  <si>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</si>
  <si>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</si>
  <si>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</si>
  <si>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</si>
  <si>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</si>
  <si>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</si>
  <si>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</si>
  <si>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</si>
  <si>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</si>
  <si>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</si>
  <si>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</si>
  <si>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</si>
  <si>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</si>
  <si>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</si>
  <si>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</si>
  <si>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</si>
  <si>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</si>
  <si>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</si>
  <si>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</si>
  <si>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</si>
  <si>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</si>
  <si>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</si>
  <si>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</si>
  <si>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</si>
  <si>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</si>
  <si>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</si>
  <si>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</si>
  <si>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</si>
  <si>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</si>
  <si>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</si>
  <si>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</si>
  <si>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</si>
  <si>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</si>
  <si>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</si>
  <si>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</si>
  <si>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</si>
  <si>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</si>
  <si>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</si>
  <si>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</si>
  <si>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</si>
  <si>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</si>
  <si>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</si>
  <si>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</si>
  <si>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</si>
  <si>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</si>
  <si>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</si>
  <si>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</si>
  <si>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</si>
  <si>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</si>
  <si>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</si>
  <si>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</si>
  <si>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</si>
  <si>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</si>
  <si>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</si>
  <si>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</si>
  <si>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</si>
  <si>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</si>
  <si>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</si>
  <si>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</si>
  <si>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</si>
  <si>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</si>
  <si>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</si>
  <si>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</si>
  <si>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</si>
  <si>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</si>
  <si>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</si>
  <si>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</si>
  <si>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</si>
  <si>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</si>
  <si>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</si>
  <si>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</si>
  <si>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</si>
  <si>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</si>
  <si>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</si>
  <si>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</si>
  <si>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</si>
  <si>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</si>
  <si>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</si>
  <si>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</si>
  <si>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</si>
  <si>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</si>
  <si>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</si>
  <si>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</si>
  <si>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</si>
  <si>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</si>
  <si>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</si>
  <si>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</si>
  <si>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</si>
  <si>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</si>
  <si>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</si>
  <si>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</si>
  <si>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</si>
  <si>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</si>
  <si>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</si>
  <si>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</si>
  <si>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</si>
  <si>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</si>
  <si>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</si>
  <si>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</si>
  <si>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</si>
  <si>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</si>
  <si>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</si>
  <si>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</si>
  <si>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</si>
  <si>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</si>
  <si>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</si>
  <si>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</si>
  <si>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</si>
  <si>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</si>
  <si>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</si>
  <si>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</si>
  <si>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</si>
  <si>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</si>
  <si>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</si>
  <si>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</si>
  <si>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</si>
  <si>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</si>
  <si>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</si>
  <si>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</si>
  <si>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</si>
  <si>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</si>
  <si>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</si>
  <si>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</si>
  <si>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</si>
  <si>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</si>
  <si>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</si>
  <si>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</si>
  <si>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</si>
  <si>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</si>
  <si>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</si>
  <si>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</si>
  <si>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</si>
  <si>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</si>
  <si>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</si>
  <si>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</si>
  <si>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</si>
  <si>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</si>
  <si>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</si>
  <si>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</si>
  <si>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</si>
  <si>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</si>
  <si>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</si>
  <si>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</si>
  <si>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</si>
  <si>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</si>
  <si>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</si>
  <si>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</si>
  <si>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</si>
  <si>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</si>
  <si>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</si>
  <si>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</si>
  <si>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</si>
  <si>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</si>
  <si>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</si>
  <si>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</si>
  <si>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</si>
  <si>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</si>
  <si>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</si>
  <si>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</si>
  <si>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</si>
  <si>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</si>
  <si>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</si>
  <si>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</si>
  <si>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</si>
  <si>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</si>
  <si>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</si>
  <si>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</si>
  <si>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</si>
  <si>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</si>
  <si>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</si>
  <si>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</si>
  <si>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</si>
  <si>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</si>
  <si>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</si>
  <si>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</si>
  <si>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</si>
  <si>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</si>
  <si>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</si>
  <si>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</si>
  <si>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</si>
  <si>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</si>
  <si>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</si>
  <si>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</si>
  <si>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</si>
  <si>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</si>
  <si>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</si>
  <si>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</si>
  <si>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</si>
  <si>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</si>
  <si>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</si>
  <si>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</si>
  <si>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</si>
  <si>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</si>
  <si>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</si>
  <si>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</si>
  <si>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</si>
  <si>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</si>
  <si>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</si>
  <si>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</si>
  <si>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</si>
  <si>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</si>
  <si>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</si>
  <si>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</si>
  <si>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</si>
  <si>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</si>
  <si>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</si>
  <si>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</si>
  <si>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</si>
  <si>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</si>
  <si>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</si>
  <si>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</si>
  <si>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</si>
  <si>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</si>
  <si>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</si>
  <si>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</si>
  <si>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</si>
  <si>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</si>
  <si>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</si>
  <si>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</si>
  <si>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</si>
  <si>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</si>
  <si>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</si>
  <si>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</si>
  <si>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</si>
  <si>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</si>
  <si>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</si>
  <si>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</si>
  <si>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</si>
  <si>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</si>
  <si>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</si>
  <si>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</si>
  <si>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</si>
  <si>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</si>
  <si>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</si>
  <si>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</si>
  <si>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</si>
  <si>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</si>
  <si>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</si>
  <si>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</si>
  <si>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</si>
  <si>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</si>
  <si>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</si>
  <si>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</si>
  <si>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</si>
  <si>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</si>
  <si>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</si>
  <si>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</si>
  <si>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</si>
  <si>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</si>
  <si>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</si>
  <si>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</si>
  <si>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</si>
  <si>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</si>
  <si>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</si>
  <si>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</si>
  <si>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</si>
  <si>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</si>
  <si>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</si>
  <si>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</si>
  <si>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</si>
  <si>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</si>
  <si>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</si>
  <si>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</si>
  <si>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</si>
  <si>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</si>
  <si>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</si>
  <si>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</si>
  <si>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</si>
  <si>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</si>
  <si>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</si>
  <si>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</si>
  <si>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</si>
  <si>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</si>
  <si>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</si>
  <si>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</si>
  <si>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</si>
  <si>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</si>
  <si>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</si>
  <si>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</si>
  <si>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</si>
  <si>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</si>
  <si>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</si>
  <si>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</si>
  <si>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</si>
  <si>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</si>
  <si>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</si>
  <si>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</si>
  <si>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</si>
  <si>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</si>
  <si>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</si>
  <si>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</si>
  <si>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</si>
  <si>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</si>
  <si>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</si>
  <si>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</si>
  <si>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</si>
  <si>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</si>
  <si>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</si>
  <si>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</si>
  <si>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</si>
  <si>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</si>
  <si>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</si>
  <si>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</si>
  <si>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</si>
  <si>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</si>
  <si>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</si>
  <si>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</si>
  <si>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</si>
  <si>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</si>
  <si>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</si>
  <si>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</si>
  <si>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</si>
  <si>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</si>
  <si>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</si>
  <si>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</si>
  <si>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</si>
  <si>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</si>
  <si>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</si>
  <si>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</si>
  <si>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</si>
  <si>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</si>
  <si>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</si>
  <si>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</si>
  <si>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</si>
  <si>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</si>
  <si>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</si>
  <si>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</si>
  <si>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</si>
  <si>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</si>
  <si>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</si>
  <si>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</si>
  <si>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</si>
  <si>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</si>
  <si>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</si>
  <si>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</si>
  <si>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</si>
  <si>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</si>
  <si>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</si>
  <si>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</si>
  <si>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</si>
  <si>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</si>
  <si>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</si>
  <si>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</si>
  <si>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</si>
  <si>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</si>
  <si>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</si>
  <si>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</si>
  <si>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</si>
  <si>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</si>
  <si>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</si>
  <si>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</si>
  <si>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</si>
  <si>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</si>
  <si>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</si>
  <si>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</si>
  <si>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</si>
  <si>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</si>
  <si>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</si>
  <si>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</si>
  <si>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</si>
  <si>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</si>
  <si>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</si>
  <si>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</si>
  <si>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</si>
  <si>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</si>
  <si>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</si>
  <si>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</si>
  <si>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</si>
  <si>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</si>
  <si>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</si>
  <si>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</si>
  <si>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</si>
  <si>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</si>
  <si>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</si>
  <si>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</si>
  <si>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</si>
  <si>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</si>
  <si>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</si>
  <si>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</si>
  <si>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</si>
  <si>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</si>
  <si>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</si>
  <si>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</si>
  <si>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</si>
  <si>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</si>
  <si>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</si>
  <si>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</si>
  <si>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</si>
  <si>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</si>
  <si>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</si>
  <si>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</si>
  <si>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</si>
  <si>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</si>
  <si>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</si>
  <si>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</si>
  <si>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</si>
  <si>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</si>
  <si>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</si>
  <si>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</si>
  <si>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</si>
  <si>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</si>
  <si>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</si>
  <si>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</si>
  <si>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</si>
  <si>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</si>
  <si>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</si>
  <si>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</si>
  <si>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</si>
  <si>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</si>
  <si>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</si>
  <si>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</si>
  <si>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</si>
  <si>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</si>
  <si>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</si>
  <si>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</si>
  <si>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</si>
  <si>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</si>
  <si>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</si>
  <si>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</si>
  <si>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</si>
  <si>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</si>
  <si>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</si>
  <si>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</si>
  <si>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</si>
  <si>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</si>
  <si>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</si>
  <si>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</si>
  <si>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</si>
  <si>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</si>
  <si>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</si>
  <si>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</si>
  <si>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</si>
  <si>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</si>
  <si>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</si>
  <si>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</si>
  <si>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</si>
  <si>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</si>
  <si>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</si>
  <si>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</si>
  <si>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</si>
  <si>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</si>
  <si>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</si>
  <si>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</si>
  <si>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</si>
  <si>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</si>
  <si>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</si>
  <si>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</si>
  <si>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</si>
  <si>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</si>
  <si>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</si>
  <si>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</si>
  <si>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</si>
  <si>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</si>
  <si>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</si>
  <si>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</si>
  <si>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</si>
  <si>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</si>
  <si>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</si>
  <si>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</si>
  <si>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</si>
  <si>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</si>
  <si>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</si>
  <si>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</si>
  <si>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</si>
  <si>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</si>
  <si>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</si>
  <si>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</si>
  <si>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</si>
  <si>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</si>
  <si>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</si>
  <si>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</si>
  <si>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</si>
  <si>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</si>
  <si>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</si>
  <si>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</si>
  <si>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EXECUTIVE AND COUNCIL</t>
  </si>
  <si>
    <t>COUNCIL GENERAL</t>
  </si>
  <si>
    <t>1.1 - COUNCIL GENERAL</t>
  </si>
  <si>
    <t>MUNICIPAL MANAGER</t>
  </si>
  <si>
    <t>2.1 - MUNICIPAL MANAGER</t>
  </si>
  <si>
    <t>FINANCE</t>
  </si>
  <si>
    <t>3.1 - FINANCE</t>
  </si>
  <si>
    <t>STORES</t>
  </si>
  <si>
    <t>3.2 - STORES</t>
  </si>
  <si>
    <t>FLEET</t>
  </si>
  <si>
    <t>3.3 - FLEET</t>
  </si>
  <si>
    <t>COMMUNITY SERVICES MANAGEMENT</t>
  </si>
  <si>
    <t>4.1 - MUNICIPAL OFFICES</t>
  </si>
  <si>
    <t>HUMAN RESOURCES</t>
  </si>
  <si>
    <t>4.2 - HUMAN RESOURCES</t>
  </si>
  <si>
    <t>ADMINISTRATION</t>
  </si>
  <si>
    <t>4.3 - ADMINISTRATION</t>
  </si>
  <si>
    <t>CORPORATE SERVICES MANAGEMENT</t>
  </si>
  <si>
    <t>4.4 - CORPORATE SERVICES MANAGEMENT</t>
  </si>
  <si>
    <t>4.5 - PROPERTY RENTALS</t>
  </si>
  <si>
    <t>5.1 - COMMUNITY SERVICES MANAGEMENT</t>
  </si>
  <si>
    <t>LIBRARY</t>
  </si>
  <si>
    <t>5.2 - LIBRARY</t>
  </si>
  <si>
    <t>HEALTH GENERAL</t>
  </si>
  <si>
    <t>5.3 - HEALTH GENERAL</t>
  </si>
  <si>
    <t>REGISTRATION AUTHORITY</t>
  </si>
  <si>
    <t>5.4 - REGISTRATION AUTHORITY</t>
  </si>
  <si>
    <t>LICENCING &amp; TRAFFIC</t>
  </si>
  <si>
    <t>5.5 - LICENCING &amp; TRAFFIC</t>
  </si>
  <si>
    <t>PARKS &amp; CEMETRIES</t>
  </si>
  <si>
    <t>5.6 - PARKS &amp; CEMETRIES</t>
  </si>
  <si>
    <t>SOLID WASTE</t>
  </si>
  <si>
    <t>5.7 - SOLID WASTE</t>
  </si>
  <si>
    <t>TECHNICAL SERVICES</t>
  </si>
  <si>
    <t>ELECTRICITY</t>
  </si>
  <si>
    <t>6.1 - ELECTRICITY</t>
  </si>
  <si>
    <t>TECHNICAL</t>
  </si>
  <si>
    <t>6.2 - TECHNICAL</t>
  </si>
  <si>
    <t>6.2 - WATER SERVICES</t>
  </si>
  <si>
    <t>6.3 - TECHNICAL SERVICES MANAGEMENT</t>
  </si>
  <si>
    <t>6.4 - HOUSING &amp; BUILDING CONTROL</t>
  </si>
  <si>
    <t>HOUSING &amp; BUILDING CONTROL</t>
  </si>
  <si>
    <t>6.5 - ROADS &amp; STORMWATER</t>
  </si>
  <si>
    <t>ROADS &amp; STORMWATER</t>
  </si>
  <si>
    <t>6.6 - FLEET MANAGEMENT</t>
  </si>
  <si>
    <t>SEWERAGE NETWORK</t>
  </si>
  <si>
    <t>6.7 - SEWERAGE NETWORK</t>
  </si>
  <si>
    <t>URBAN RENEWAL</t>
  </si>
  <si>
    <t>2.2 - URBAN RENEWAL</t>
  </si>
  <si>
    <t>WATER AGENCY</t>
  </si>
  <si>
    <t>Information Technology Services</t>
  </si>
  <si>
    <t>Specialist Services</t>
  </si>
  <si>
    <t>Khabo Ramosibi</t>
  </si>
  <si>
    <t>0132618467</t>
  </si>
  <si>
    <t>kramosibi@emogalelm.gov.za</t>
  </si>
  <si>
    <t>indegentrs, free and subsidised services, staff and community bursary</t>
  </si>
  <si>
    <t>SPORTS ARTS AND CULTURE</t>
  </si>
  <si>
    <t>5.8 - SPORTS ARTS AND CULTURE</t>
  </si>
  <si>
    <t>HIV/AIDS</t>
  </si>
  <si>
    <t>5.9 - HIV/AIDS</t>
  </si>
  <si>
    <t>EFFECTIVE FINANCIAL MANAGEMENT</t>
  </si>
  <si>
    <t>To ensure sound financial management</t>
  </si>
  <si>
    <t>INSTITUTIONAL TRANSFORMATION</t>
  </si>
  <si>
    <t>To develop and implement EE plan and ensure capacity is built institutionally and in the community</t>
  </si>
  <si>
    <t>SUSTAINABLE DEVELOPMENT AND ENVIROMENTAL MANAGEMENT</t>
  </si>
  <si>
    <t>Develop and Implementation of policies and by-laws and to ensure proper disposal of collected waste</t>
  </si>
  <si>
    <t>SERVICE DELIVERY EXCELLENCE, CUSTOMER CARE AND BATHO PELE</t>
  </si>
  <si>
    <t>Training, Awareness and Implementation of Batho Pele principles</t>
  </si>
  <si>
    <t>ACCESS TO BASIC SERVICES</t>
  </si>
  <si>
    <t>Prepare and facilitate the implementation of strategic plans to electricity, water, sewerage and align to the IDP</t>
  </si>
  <si>
    <t>PUBLIC SAFETY AND BY-LAW ENFORCEMENT</t>
  </si>
  <si>
    <t>To promote safe and secure enviroment</t>
  </si>
  <si>
    <t>HOUSING DELIVERY</t>
  </si>
  <si>
    <t>Make provision for the improvement of low income houses for low income communities</t>
  </si>
  <si>
    <t>TRANSPORTATION</t>
  </si>
  <si>
    <t>To provide efficient and effective transportation system</t>
  </si>
  <si>
    <t>ECONOMIC GROWTH AND DEVELOPMENT</t>
  </si>
  <si>
    <t>To empower and build the capacity of enterpreneurs and to preserve culture and heritage of the municipality through promoting eco-tourism</t>
  </si>
  <si>
    <t>GOOD GOVERNANCE AND BUILDING DEMOCRACY</t>
  </si>
  <si>
    <t xml:space="preserve">To promote the effective and efficient communication both internal and external </t>
  </si>
  <si>
    <t>STRATEGIC MANAGEMENT</t>
  </si>
  <si>
    <t>Develop IDP that ensures the activities of the municipality and resource allocation are aligned to political priorities</t>
  </si>
  <si>
    <t>FIGHTING POVERTY AND PROMOTE HUMAN DEVELOPMENT</t>
  </si>
  <si>
    <t>Lead and direct Community service of the municipality to achieve key strategic objectives in relation to the welfare</t>
  </si>
  <si>
    <t>HIV/AIDS PREVENTION AND MANAGEMENT</t>
  </si>
  <si>
    <t>Lead and direct Community service of the municipality to achieve key strategic objectives in relation to the health</t>
  </si>
  <si>
    <t>INFRASTRUCTURE</t>
  </si>
  <si>
    <t>ROADS &amp; STORM WATER</t>
  </si>
  <si>
    <t>Grading of roads</t>
  </si>
  <si>
    <t>KM OF ROADS TO BE GRADED</t>
  </si>
  <si>
    <t>PURCHASE OF 2 DUMPER TRUCKS</t>
  </si>
  <si>
    <t xml:space="preserve">NO. OF DUMPER TRUCKS PURCHASED </t>
  </si>
  <si>
    <t>PURCHASE OF 2 SAW CUTTERS</t>
  </si>
  <si>
    <t>NO. OF SAW CUTTER PURCHASED</t>
  </si>
  <si>
    <t>COMMUNITY SERVICES</t>
  </si>
  <si>
    <t>PARKS &amp; CEMETRY</t>
  </si>
  <si>
    <t>GREENING OF MUNICIPAL AREA&amp;MASTERPLAN DEVELOPMENT</t>
  </si>
  <si>
    <t>NO. OF INDIGENOUS TREES TO BE PURCHASED &amp; MASTERPLAN DEVELOPED</t>
  </si>
  <si>
    <t>REGISTRY AUTHORITY</t>
  </si>
  <si>
    <t>EXTENSION OF OFFICES</t>
  </si>
  <si>
    <t>NO. OF OFFICES BUILT</t>
  </si>
  <si>
    <t>EXTENSION OF CEMETRIES</t>
  </si>
  <si>
    <t>NO. OF PROJECT PLAN DEVELOPED AND SUBMITTED FOR CONCRETE FENCING AT THE NEW TOWN HALL</t>
  </si>
  <si>
    <t>PLANNING&amp; ECONOMIC DEVELOPMENT</t>
  </si>
  <si>
    <t>ECONOMIC DEVELOPMENT FOR SMME'S</t>
  </si>
  <si>
    <t>NUMBER OF COOPERATIVES SUPPORTED WITH ACCESS TO FINANCE AND TRAINING</t>
  </si>
  <si>
    <t>LED</t>
  </si>
  <si>
    <t>REVIEW OF LED STRATEGY</t>
  </si>
  <si>
    <t>NUMBER OF STRATEGIES REVIEWED</t>
  </si>
  <si>
    <t>CORPORATE SERVICES</t>
  </si>
  <si>
    <t>DEVELOPMENT OF JOB DESCRIPTIONS</t>
  </si>
  <si>
    <t>NUMBER OF JOB DESCRIPTIONS DEVELOPED</t>
  </si>
  <si>
    <t>TO PROMOTE EMPLOYEE WELLNESS AND HEALTH PROGRAMS</t>
  </si>
  <si>
    <t>NUMBER OF EMPLOYEE WELLNESS PROGRAMS</t>
  </si>
  <si>
    <t>RECORDS MANAGEMENT</t>
  </si>
  <si>
    <t>TO SAFEGUARD RECORDSAND RELATED DATA FOR FUTURE REFERENCE</t>
  </si>
  <si>
    <t>NUMBER OF REPORT ON MAIL RECEIVED AND PROCESSED</t>
  </si>
  <si>
    <t>BUDGET AND TREASURY</t>
  </si>
  <si>
    <t>TO PROVIDE FREE BASIC SERVICES</t>
  </si>
  <si>
    <t>NUMBER OF BENEFICIARIES PROVIDED FOR BASIC ELECTRICITY</t>
  </si>
  <si>
    <t>ASSET MANAGEMENT</t>
  </si>
  <si>
    <t>COMPILATION OF GRAP COMPLIANT ASSET REGISTER</t>
  </si>
  <si>
    <t>GRAP COMPLIANT ASSET REGISTER COMPILED</t>
  </si>
  <si>
    <t>BUDGET&amp; EXPENDITURE</t>
  </si>
  <si>
    <t>MANAGEMENT OF FINANCIAL MANAGEMENT GRANT</t>
  </si>
  <si>
    <t>% EXPENDITURE ON FINANCIAL MANAGEMENT GRANT</t>
  </si>
  <si>
    <t>MAYORAL OUTREACH PROGRAM</t>
  </si>
  <si>
    <t>NUMBER OF MAYORAL OUTREACH PROGRAM CONDUCTED</t>
  </si>
  <si>
    <t>TO HAVE A WELL CORDINATED COMMUNICATION WITH THE PUBLIC</t>
  </si>
  <si>
    <t>NUMBER OF WARD COMMITTEE MEETINGS CONDUCTED</t>
  </si>
  <si>
    <t>TO ENSURE OPTIMUM FUNCTIONALITY OF COUNCIL</t>
  </si>
  <si>
    <t>NUMBER OF MEETING HELD</t>
  </si>
  <si>
    <t>STATS SA</t>
  </si>
  <si>
    <t>IDP 2015/2016</t>
  </si>
  <si>
    <t>R800</t>
  </si>
  <si>
    <t>R1100</t>
  </si>
  <si>
    <t>NEDBANK</t>
  </si>
  <si>
    <t>FIXED</t>
  </si>
  <si>
    <t>CALL ACCOUNT</t>
  </si>
  <si>
    <t>YES</t>
  </si>
  <si>
    <t>VARIABLE</t>
  </si>
  <si>
    <t>6.55-8.00</t>
  </si>
  <si>
    <t>N/A</t>
  </si>
  <si>
    <t>MONTH TO MONTH</t>
  </si>
  <si>
    <t>HC IT</t>
  </si>
  <si>
    <t>IT SERVICES</t>
  </si>
  <si>
    <t>IT QAZULULO</t>
  </si>
  <si>
    <t>NDWEDZI ENTERPRISE</t>
  </si>
  <si>
    <t>COPIERS</t>
  </si>
  <si>
    <t>TELKOM</t>
  </si>
  <si>
    <t>TELEPHONES, FAXES AND POSTAGE</t>
  </si>
  <si>
    <t>MUNSOFT</t>
  </si>
  <si>
    <t>FINANCIAL SYSTEM</t>
  </si>
  <si>
    <t>VIP SOFTLINE</t>
  </si>
  <si>
    <t>FOCUS</t>
  </si>
  <si>
    <t>NEWSLETTER</t>
  </si>
  <si>
    <t>COMGUARD</t>
  </si>
  <si>
    <t>SECURITY SERVICES</t>
  </si>
  <si>
    <t>ALTEC NETSTAR</t>
  </si>
  <si>
    <t>TRACKERS</t>
  </si>
  <si>
    <t>PROTEA COIN</t>
  </si>
  <si>
    <t>CASH IN TRANSIT</t>
  </si>
  <si>
    <t>UNIQUE CO</t>
  </si>
  <si>
    <t>PROPERTY VALUATION</t>
  </si>
  <si>
    <t>ELECTRICAL SERVICES</t>
  </si>
  <si>
    <t>ROADS&amp; STORMWATER</t>
  </si>
  <si>
    <t>PARKS&amp; CEMETRY</t>
  </si>
  <si>
    <t>PROJECT MANAGEMENT UNIT</t>
  </si>
  <si>
    <t>R1101</t>
  </si>
  <si>
    <t>R1102</t>
  </si>
  <si>
    <t>R1103</t>
  </si>
  <si>
    <t>Director:infrastructure</t>
  </si>
  <si>
    <t>Director:Corporate</t>
  </si>
  <si>
    <t>Drector: Community Services</t>
  </si>
  <si>
    <t>EXTENSION OF OFFICES,NEW ENTRANCE GATE,SOFTWARE,VEHICLE, MACHINERY AND EQUIPMENT</t>
  </si>
  <si>
    <t>LIGHT VEHICLE,  HIGHMASTS CONNECTIONS, GENERATORS, MINISUBSTATION,DENSIFICATION</t>
  </si>
  <si>
    <t>SPORTS, ARTS AND CULTURE</t>
  </si>
  <si>
    <t>RESURFACING OF TENNIS COURTS</t>
  </si>
  <si>
    <t>ACCESS ROADS FENCING,,SOFTWARE, MACHINERY</t>
  </si>
  <si>
    <t>LADSCAPPING &amp; GREENING PROJECT, ELECTRONIC BILLBOARDS,MACHINERY, EXTENSION OF CEMETRY</t>
  </si>
  <si>
    <t>FIRE DETECTORS, FURNITURE, FILE STORAGE,RECORD MANAGEMENT</t>
  </si>
  <si>
    <t>MAYORAL VEHICLE</t>
  </si>
  <si>
    <t>HOUSING</t>
  </si>
  <si>
    <t>OFFICE SPACE</t>
  </si>
  <si>
    <t>ROADS, MOBILE TOILETS, BOMAG ROLLER, STPRMWATER, DUMPER,SPORTS COMPLEX,VEHICLE</t>
  </si>
  <si>
    <t>PLANNING &amp; ECONOMIC DEVELOPMENT</t>
  </si>
  <si>
    <t>7.5 - URBAN RENEWAL</t>
  </si>
  <si>
    <t>7.4 - HOUSING &amp; BUILDING CONTROL</t>
  </si>
  <si>
    <t>7.1 -HOUSING &amp; BUILDING CONTROL</t>
  </si>
  <si>
    <t>7.2 -URBAN RENEWAL</t>
  </si>
  <si>
    <t>Director: Planning</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</si>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</sst>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0.00_);_(* \(#,##0.00\);_(* &quot;-&quot;??_);_(@_)"/>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0">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cellStyleXfs>
  <cellXfs count="2749">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15" xfId="1" applyNumberFormat="1" applyFont="1" applyBorder="1"/>
    <xf numFmtId="174" fontId="12" fillId="0" borderId="2" xfId="1" applyNumberFormat="1" applyFont="1" applyFill="1" applyBorder="1"/>
    <xf numFmtId="174" fontId="12" fillId="0" borderId="14" xfId="1" applyNumberFormat="1" applyFont="1" applyBorder="1"/>
    <xf numFmtId="174" fontId="12" fillId="0" borderId="25"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0" fontId="19" fillId="0" borderId="14" xfId="0" applyNumberFormat="1" applyFont="1" applyBorder="1" applyAlignment="1">
      <alignment horizontal="center"/>
    </xf>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174" fontId="12" fillId="0" borderId="2" xfId="1" applyNumberFormat="1" applyFont="1" applyBorder="1"/>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0" fontId="12" fillId="0" borderId="2" xfId="0" applyNumberFormat="1" applyFont="1" applyFill="1" applyBorder="1" applyAlignment="1">
      <alignment horizontal="left" indent="2"/>
    </xf>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9" fillId="0" borderId="14" xfId="0" applyNumberFormat="1" applyFont="1" applyFill="1" applyBorder="1" applyAlignment="1">
      <alignment horizontal="center"/>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2" fillId="0" borderId="2" xfId="0" applyFont="1" applyBorder="1" applyAlignment="1">
      <alignment horizontal="left" wrapText="1" indent="1"/>
    </xf>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43" fontId="12" fillId="0" borderId="0" xfId="1" applyFont="1" applyFill="1" applyBorder="1"/>
    <xf numFmtId="0" fontId="12" fillId="0" borderId="17" xfId="0" applyFont="1" applyBorder="1" applyAlignment="1">
      <alignment horizontal="center" vertical="top" wrapText="1"/>
    </xf>
    <xf numFmtId="168"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15"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5"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7" applyNumberFormat="1" applyFont="1" applyFill="1" applyBorder="1" applyAlignment="1">
      <alignment horizontal="center"/>
    </xf>
    <xf numFmtId="171" fontId="12" fillId="0" borderId="15"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7"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7" applyNumberFormat="1" applyFont="1" applyBorder="1" applyAlignment="1">
      <alignment vertical="top" wrapText="1"/>
    </xf>
    <xf numFmtId="179" fontId="14" fillId="0" borderId="15"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2" fillId="0" borderId="15" xfId="0" applyNumberFormat="1" applyFont="1" applyFill="1" applyBorder="1" applyAlignment="1"/>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7" applyNumberFormat="1" applyFont="1" applyBorder="1" applyAlignment="1">
      <alignment horizontal="center"/>
    </xf>
    <xf numFmtId="179" fontId="14" fillId="0" borderId="15"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7"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6" xfId="0" applyNumberFormat="1" applyFont="1" applyFill="1" applyBorder="1" applyAlignment="1">
      <alignment vertical="center"/>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74" fontId="17" fillId="0" borderId="22" xfId="0" applyNumberFormat="1" applyFont="1" applyFill="1" applyBorder="1"/>
    <xf numFmtId="174" fontId="17" fillId="0" borderId="27" xfId="0" applyNumberFormat="1" applyFont="1" applyFill="1" applyBorder="1"/>
    <xf numFmtId="174" fontId="17" fillId="0" borderId="28" xfId="0" applyNumberFormat="1" applyFont="1" applyFill="1" applyBorder="1"/>
    <xf numFmtId="174" fontId="17" fillId="0" borderId="26" xfId="0" applyNumberFormat="1" applyFont="1" applyFill="1" applyBorder="1"/>
    <xf numFmtId="174" fontId="17" fillId="0" borderId="29"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7" fillId="0" borderId="22" xfId="0" applyNumberFormat="1" applyFont="1" applyFill="1" applyBorder="1" applyProtection="1"/>
    <xf numFmtId="174" fontId="17" fillId="0" borderId="27" xfId="0" applyNumberFormat="1" applyFont="1" applyFill="1" applyBorder="1" applyProtection="1"/>
    <xf numFmtId="174" fontId="17" fillId="0" borderId="28" xfId="0" applyNumberFormat="1" applyFont="1" applyFill="1" applyBorder="1" applyProtection="1"/>
    <xf numFmtId="174" fontId="17" fillId="0" borderId="26" xfId="0" applyNumberFormat="1" applyFont="1" applyFill="1" applyBorder="1" applyProtection="1"/>
    <xf numFmtId="174" fontId="17" fillId="0" borderId="29" xfId="0" applyNumberFormat="1" applyFont="1" applyFill="1" applyBorder="1" applyProtection="1"/>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7" applyNumberFormat="1" applyFont="1" applyBorder="1" applyAlignment="1">
      <alignment horizontal="center"/>
    </xf>
    <xf numFmtId="179" fontId="12" fillId="0" borderId="53" xfId="7" applyNumberFormat="1" applyFont="1" applyBorder="1" applyAlignment="1">
      <alignment horizontal="center"/>
    </xf>
    <xf numFmtId="179" fontId="12" fillId="0" borderId="2" xfId="7" applyNumberFormat="1" applyFont="1" applyBorder="1" applyAlignment="1">
      <alignment horizontal="center"/>
    </xf>
    <xf numFmtId="179" fontId="12" fillId="0" borderId="14" xfId="7" applyNumberFormat="1" applyFont="1" applyBorder="1" applyAlignment="1">
      <alignment horizontal="center"/>
    </xf>
    <xf numFmtId="179" fontId="12" fillId="0" borderId="54" xfId="7" applyNumberFormat="1" applyFont="1" applyBorder="1" applyAlignment="1">
      <alignment horizontal="center"/>
    </xf>
    <xf numFmtId="179" fontId="12" fillId="0" borderId="0" xfId="7" applyNumberFormat="1" applyFont="1" applyBorder="1" applyAlignment="1">
      <alignment horizontal="center"/>
    </xf>
    <xf numFmtId="179"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81" xfId="0" applyFont="1" applyBorder="1" applyAlignment="1">
      <alignment horizontal="center"/>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2"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82" xfId="0" applyNumberFormat="1" applyFont="1" applyFill="1" applyBorder="1" applyProtection="1"/>
    <xf numFmtId="174" fontId="12" fillId="0" borderId="45" xfId="0" applyNumberFormat="1" applyFont="1" applyFill="1" applyBorder="1" applyProtection="1"/>
    <xf numFmtId="174" fontId="12" fillId="0" borderId="77"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NumberFormat="1" applyFont="1" applyFill="1" applyBorder="1" applyAlignment="1">
      <alignment horizontal="left" indent="2"/>
    </xf>
    <xf numFmtId="0" fontId="12" fillId="0" borderId="25" xfId="0" applyNumberFormat="1" applyFont="1" applyBorder="1" applyAlignment="1">
      <alignment horizontal="left" indent="2"/>
    </xf>
    <xf numFmtId="0" fontId="12" fillId="0" borderId="25" xfId="0" applyFont="1" applyBorder="1"/>
    <xf numFmtId="0" fontId="14" fillId="0" borderId="3" xfId="0" applyNumberFormat="1" applyFont="1" applyBorder="1" applyAlignment="1" applyProtection="1">
      <alignment wrapText="1"/>
    </xf>
    <xf numFmtId="0" fontId="12" fillId="0" borderId="7" xfId="0" applyNumberFormat="1" applyFont="1" applyBorder="1" applyAlignment="1">
      <alignment horizontal="center"/>
    </xf>
    <xf numFmtId="0" fontId="26" fillId="0" borderId="5"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80" xfId="0" applyNumberFormat="1" applyFont="1" applyFill="1" applyBorder="1" applyProtection="1"/>
    <xf numFmtId="174" fontId="14" fillId="0" borderId="66" xfId="0" applyNumberFormat="1" applyFont="1" applyFill="1" applyBorder="1" applyProtection="1"/>
    <xf numFmtId="174" fontId="14" fillId="0" borderId="83" xfId="0" applyNumberFormat="1" applyFont="1" applyFill="1" applyBorder="1" applyProtection="1"/>
    <xf numFmtId="174" fontId="14" fillId="0" borderId="59" xfId="0" applyNumberFormat="1" applyFont="1" applyFill="1" applyBorder="1" applyProtection="1"/>
    <xf numFmtId="174" fontId="14" fillId="0" borderId="58" xfId="0" applyNumberFormat="1" applyFont="1" applyFill="1" applyBorder="1" applyProtection="1"/>
    <xf numFmtId="174" fontId="14" fillId="0" borderId="82"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9" xfId="0" applyNumberFormat="1" applyFont="1" applyFill="1" applyBorder="1"/>
    <xf numFmtId="174" fontId="14" fillId="0" borderId="58" xfId="0" applyNumberFormat="1" applyFont="1" applyFill="1" applyBorder="1"/>
    <xf numFmtId="174" fontId="14" fillId="0" borderId="8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7" fillId="0" borderId="25" xfId="0" applyNumberFormat="1" applyFont="1" applyFill="1" applyBorder="1" applyAlignment="1">
      <alignment horizontal="left" indent="2"/>
    </xf>
    <xf numFmtId="0" fontId="12" fillId="0" borderId="25" xfId="0" applyFont="1" applyBorder="1" applyAlignment="1">
      <alignment horizontal="left" indent="2"/>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0" fontId="12" fillId="0" borderId="6" xfId="0" applyFont="1" applyBorder="1" applyAlignment="1">
      <alignment horizontal="center"/>
    </xf>
    <xf numFmtId="174" fontId="14" fillId="0" borderId="53" xfId="0" applyNumberFormat="1" applyFont="1" applyBorder="1"/>
    <xf numFmtId="0" fontId="12" fillId="0" borderId="1" xfId="0" applyFont="1" applyBorder="1" applyAlignment="1">
      <alignment horizontal="center"/>
    </xf>
    <xf numFmtId="0" fontId="12" fillId="0" borderId="4" xfId="0" applyFont="1" applyBorder="1" applyAlignment="1">
      <alignment horizontal="center"/>
    </xf>
    <xf numFmtId="174" fontId="14" fillId="0" borderId="82"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4"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1"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1"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43"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1"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4" xfId="0" applyFont="1" applyBorder="1" applyAlignment="1">
      <alignment horizontal="center"/>
    </xf>
    <xf numFmtId="0" fontId="45" fillId="0" borderId="0" xfId="0" applyFont="1"/>
    <xf numFmtId="0" fontId="12" fillId="0" borderId="81"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7" applyNumberFormat="1" applyFont="1" applyBorder="1" applyAlignment="1">
      <alignment horizontal="center"/>
    </xf>
    <xf numFmtId="169" fontId="12" fillId="0" borderId="54" xfId="0" applyNumberFormat="1" applyFont="1" applyBorder="1"/>
    <xf numFmtId="171" fontId="12" fillId="0" borderId="25" xfId="7" applyNumberFormat="1" applyFont="1" applyBorder="1" applyAlignment="1">
      <alignment horizontal="center"/>
    </xf>
    <xf numFmtId="171" fontId="12" fillId="0" borderId="54" xfId="7"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5" xfId="0" applyFont="1" applyBorder="1" applyAlignment="1">
      <alignment horizontal="center"/>
    </xf>
    <xf numFmtId="0" fontId="12" fillId="0" borderId="86" xfId="0" applyFont="1" applyBorder="1" applyAlignment="1">
      <alignment horizontal="center"/>
    </xf>
    <xf numFmtId="169" fontId="12" fillId="0" borderId="87" xfId="0" applyNumberFormat="1" applyFont="1" applyBorder="1"/>
    <xf numFmtId="169" fontId="12" fillId="0" borderId="85" xfId="0" applyNumberFormat="1" applyFont="1" applyBorder="1"/>
    <xf numFmtId="169" fontId="12" fillId="0" borderId="86" xfId="0" applyNumberFormat="1" applyFont="1" applyBorder="1"/>
    <xf numFmtId="169" fontId="12" fillId="0" borderId="88" xfId="0" applyNumberFormat="1" applyFont="1" applyBorder="1"/>
    <xf numFmtId="169" fontId="12" fillId="0" borderId="89" xfId="0" applyNumberFormat="1" applyFont="1" applyBorder="1"/>
    <xf numFmtId="169" fontId="12" fillId="0" borderId="90" xfId="0" applyNumberFormat="1" applyFont="1" applyBorder="1"/>
    <xf numFmtId="174" fontId="14" fillId="0" borderId="91" xfId="0" applyNumberFormat="1" applyFont="1" applyBorder="1"/>
    <xf numFmtId="174" fontId="14" fillId="0" borderId="92" xfId="0" applyNumberFormat="1" applyFont="1" applyBorder="1"/>
    <xf numFmtId="174" fontId="14" fillId="0" borderId="93"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1"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8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7" fillId="0" borderId="16"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15" xfId="0" applyFont="1" applyBorder="1" applyProtection="1">
      <protection hidden="1"/>
    </xf>
    <xf numFmtId="0" fontId="31" fillId="0" borderId="0" xfId="0" applyFont="1" applyBorder="1" applyProtection="1">
      <protection hidden="1"/>
    </xf>
    <xf numFmtId="0" fontId="30" fillId="0" borderId="15" xfId="0" applyFont="1" applyBorder="1" applyProtection="1">
      <protection hidden="1"/>
    </xf>
    <xf numFmtId="0" fontId="9" fillId="0" borderId="94"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3" xfId="0" applyFont="1" applyFill="1" applyBorder="1" applyAlignment="1" applyProtection="1">
      <alignment horizontal="left" vertical="top" wrapText="1"/>
    </xf>
    <xf numFmtId="0" fontId="9" fillId="0" borderId="16" xfId="0" applyFont="1" applyFill="1" applyBorder="1" applyAlignment="1" applyProtection="1">
      <alignment horizontal="justify" vertical="center" wrapText="1"/>
      <protection locked="0"/>
    </xf>
    <xf numFmtId="0" fontId="9" fillId="0" borderId="7" xfId="0" applyFont="1" applyBorder="1" applyAlignment="1">
      <alignment vertical="center"/>
    </xf>
    <xf numFmtId="0" fontId="17" fillId="0" borderId="0" xfId="3" applyFont="1" applyAlignment="1" applyProtection="1"/>
    <xf numFmtId="0" fontId="7" fillId="0" borderId="0" xfId="0" applyFont="1" applyBorder="1" applyAlignment="1">
      <alignment vertical="center"/>
    </xf>
    <xf numFmtId="0" fontId="7" fillId="0" borderId="3" xfId="0" applyFont="1" applyBorder="1" applyAlignment="1">
      <alignment vertical="center"/>
    </xf>
    <xf numFmtId="0" fontId="7" fillId="0" borderId="16" xfId="0" applyFont="1" applyBorder="1" applyAlignment="1">
      <alignment vertical="center"/>
    </xf>
    <xf numFmtId="0" fontId="9" fillId="0" borderId="2" xfId="0" applyFont="1" applyFill="1" applyBorder="1" applyAlignment="1" applyProtection="1">
      <alignment horizontal="justify" vertical="center" wrapText="1"/>
    </xf>
    <xf numFmtId="0" fontId="9" fillId="0" borderId="15"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3" xfId="0" applyFont="1" applyFill="1" applyBorder="1" applyAlignment="1" applyProtection="1">
      <alignment horizontal="justify" vertical="center" wrapText="1"/>
    </xf>
    <xf numFmtId="0" fontId="9" fillId="0" borderId="16" xfId="0" applyFont="1" applyFill="1" applyBorder="1" applyAlignment="1" applyProtection="1">
      <alignment horizontal="justify" vertical="center" wrapText="1"/>
    </xf>
    <xf numFmtId="0" fontId="9" fillId="0" borderId="2"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3" xfId="0" applyFont="1" applyFill="1" applyBorder="1" applyAlignment="1" applyProtection="1">
      <alignment horizontal="justify" vertical="top" wrapText="1"/>
    </xf>
    <xf numFmtId="0" fontId="9" fillId="0" borderId="16"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3" xfId="0" applyFont="1" applyBorder="1" applyAlignment="1" applyProtection="1">
      <alignment horizontal="justify" vertical="top" wrapText="1"/>
    </xf>
    <xf numFmtId="0" fontId="7" fillId="0" borderId="16"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94" xfId="0" applyFont="1" applyBorder="1" applyAlignment="1" applyProtection="1">
      <alignment horizontal="justify" wrapText="1"/>
    </xf>
    <xf numFmtId="0" fontId="7" fillId="0" borderId="95" xfId="0" applyFont="1" applyBorder="1" applyAlignment="1" applyProtection="1">
      <alignment horizontal="justify" wrapText="1"/>
    </xf>
    <xf numFmtId="0" fontId="7" fillId="0" borderId="60" xfId="0" applyFont="1" applyBorder="1" applyAlignment="1" applyProtection="1">
      <alignment horizontal="justify" wrapText="1"/>
    </xf>
    <xf numFmtId="0" fontId="7" fillId="0" borderId="7" xfId="0" applyFont="1" applyBorder="1" applyAlignment="1" applyProtection="1">
      <alignment horizontal="justify" wrapText="1"/>
    </xf>
    <xf numFmtId="0" fontId="7" fillId="0" borderId="3" xfId="0" applyFont="1" applyFill="1" applyBorder="1" applyAlignment="1" applyProtection="1">
      <alignment horizontal="justify" wrapText="1"/>
    </xf>
    <xf numFmtId="181" fontId="7" fillId="0" borderId="16" xfId="0" applyNumberFormat="1" applyFont="1" applyFill="1" applyBorder="1" applyAlignment="1" applyProtection="1">
      <alignment horizontal="justify" wrapText="1"/>
      <protection locked="0"/>
    </xf>
    <xf numFmtId="0" fontId="9" fillId="0" borderId="60" xfId="0" applyFont="1" applyBorder="1" applyAlignment="1" applyProtection="1">
      <alignment horizontal="justify" wrapText="1"/>
    </xf>
    <xf numFmtId="0" fontId="7" fillId="0" borderId="23" xfId="0" applyFont="1" applyBorder="1" applyAlignment="1" applyProtection="1">
      <alignment horizontal="justify" wrapText="1"/>
    </xf>
    <xf numFmtId="0" fontId="7" fillId="0" borderId="23" xfId="0" applyFont="1" applyFill="1" applyBorder="1" applyAlignment="1" applyProtection="1">
      <alignment horizontal="justify" wrapText="1"/>
    </xf>
    <xf numFmtId="0" fontId="7" fillId="0" borderId="16" xfId="0" applyFont="1" applyFill="1" applyBorder="1" applyAlignment="1" applyProtection="1">
      <alignment horizontal="justify" wrapText="1"/>
      <protection locked="0"/>
    </xf>
    <xf numFmtId="0" fontId="7" fillId="0" borderId="2" xfId="0" applyFont="1" applyBorder="1" applyAlignment="1" applyProtection="1">
      <alignment horizontal="justify" wrapText="1"/>
    </xf>
    <xf numFmtId="0" fontId="9" fillId="0" borderId="60" xfId="0" applyFont="1" applyBorder="1" applyAlignment="1" applyProtection="1">
      <alignment horizontal="left"/>
    </xf>
    <xf numFmtId="0" fontId="7" fillId="0" borderId="2" xfId="0" applyFont="1" applyFill="1" applyBorder="1" applyAlignment="1" applyProtection="1">
      <alignment horizontal="justify" wrapText="1"/>
    </xf>
    <xf numFmtId="0" fontId="7" fillId="0" borderId="15" xfId="0" applyFont="1" applyFill="1" applyBorder="1" applyAlignment="1" applyProtection="1">
      <alignment horizontal="justify" wrapText="1"/>
      <protection locked="0"/>
    </xf>
    <xf numFmtId="0" fontId="7" fillId="0" borderId="0" xfId="3" applyFont="1" applyAlignment="1" applyProtection="1">
      <protection hidden="1"/>
    </xf>
    <xf numFmtId="0" fontId="36" fillId="0" borderId="0" xfId="3" applyFont="1" applyAlignment="1" applyProtection="1">
      <protection hidden="1"/>
    </xf>
    <xf numFmtId="0" fontId="36"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8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8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6"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1"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6"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2" xfId="7" applyNumberFormat="1" applyFont="1" applyFill="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5" xfId="0" applyFont="1" applyBorder="1" applyAlignment="1">
      <alignment horizontal="center"/>
    </xf>
    <xf numFmtId="0" fontId="14" fillId="0" borderId="74" xfId="0" applyNumberFormat="1" applyFont="1" applyBorder="1"/>
    <xf numFmtId="0" fontId="12" fillId="0" borderId="74" xfId="0" applyNumberFormat="1" applyFont="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9" xfId="7" applyNumberFormat="1" applyFont="1" applyFill="1" applyBorder="1" applyAlignment="1">
      <alignment horizontal="center"/>
    </xf>
    <xf numFmtId="168" fontId="17" fillId="0" borderId="21"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2"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2"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17" fontId="2" fillId="16" borderId="19" xfId="0" quotePrefix="1" applyNumberFormat="1" applyFont="1" applyFill="1" applyBorder="1" applyProtection="1"/>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quotePrefix="1" applyFont="1" applyFill="1" applyBorder="1" applyProtection="1"/>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Border="1" applyProtection="1"/>
    <xf numFmtId="0" fontId="2" fillId="16" borderId="0" xfId="0" applyFont="1" applyFill="1" applyAlignment="1" applyProtection="1">
      <alignment horizontal="center"/>
      <protection locked="0"/>
    </xf>
    <xf numFmtId="0" fontId="2" fillId="16" borderId="0" xfId="0" applyFont="1" applyFill="1" applyAlignment="1" applyProtection="1">
      <alignment wrapText="1"/>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0" fontId="9" fillId="16" borderId="95" xfId="0" applyFont="1" applyFill="1" applyBorder="1" applyAlignment="1" applyProtection="1">
      <alignment horizontal="justify" vertical="center" wrapText="1"/>
    </xf>
    <xf numFmtId="0" fontId="7" fillId="16" borderId="18" xfId="0" applyFont="1" applyFill="1" applyBorder="1" applyAlignment="1" applyProtection="1">
      <alignment vertical="center"/>
      <protection locked="0"/>
    </xf>
    <xf numFmtId="0" fontId="9" fillId="16" borderId="15" xfId="0" applyFont="1" applyFill="1" applyBorder="1" applyAlignment="1" applyProtection="1">
      <alignment horizontal="justify" vertical="top" wrapText="1"/>
      <protection locked="0"/>
    </xf>
    <xf numFmtId="0" fontId="9" fillId="16" borderId="15" xfId="0" applyFont="1" applyFill="1" applyBorder="1" applyAlignment="1" applyProtection="1">
      <alignment horizontal="left" vertical="top" wrapText="1"/>
      <protection locked="0"/>
    </xf>
    <xf numFmtId="0" fontId="7" fillId="16" borderId="23" xfId="0" applyFont="1" applyFill="1" applyBorder="1" applyAlignment="1" applyProtection="1">
      <alignment horizontal="justify" wrapText="1"/>
      <protection locked="0"/>
    </xf>
    <xf numFmtId="181" fontId="7" fillId="16" borderId="18" xfId="0" applyNumberFormat="1" applyFont="1" applyFill="1" applyBorder="1" applyAlignment="1" applyProtection="1">
      <alignment horizontal="justify" wrapText="1"/>
      <protection locked="0"/>
    </xf>
    <xf numFmtId="0" fontId="7" fillId="16" borderId="18" xfId="0" applyFont="1" applyFill="1" applyBorder="1" applyAlignment="1" applyProtection="1">
      <alignment horizontal="justify" wrapText="1"/>
      <protection locked="0"/>
    </xf>
    <xf numFmtId="0" fontId="7" fillId="16" borderId="23" xfId="0" applyNumberFormat="1" applyFont="1" applyFill="1" applyBorder="1" applyAlignment="1" applyProtection="1">
      <alignment horizontal="justify" wrapText="1"/>
      <protection locked="0"/>
    </xf>
    <xf numFmtId="0" fontId="7" fillId="16" borderId="15" xfId="0" applyFont="1" applyFill="1" applyBorder="1" applyAlignment="1" applyProtection="1">
      <alignment horizontal="justify" wrapText="1"/>
      <protection locked="0"/>
    </xf>
    <xf numFmtId="0" fontId="36" fillId="16" borderId="18" xfId="2" applyFont="1" applyFill="1" applyBorder="1" applyAlignment="1" applyProtection="1">
      <alignment horizontal="justify" wrapTex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59" xfId="0" applyNumberFormat="1" applyFont="1" applyFill="1" applyBorder="1" applyProtection="1">
      <protection locked="0"/>
    </xf>
    <xf numFmtId="174" fontId="12" fillId="16" borderId="29" xfId="0" applyNumberFormat="1" applyFont="1" applyFill="1" applyBorder="1" applyProtection="1">
      <protection locked="0"/>
    </xf>
    <xf numFmtId="174" fontId="12" fillId="16" borderId="58" xfId="0" applyNumberFormat="1" applyFont="1" applyFill="1" applyBorder="1" applyProtection="1">
      <protection locked="0"/>
    </xf>
    <xf numFmtId="174" fontId="12" fillId="16" borderId="82" xfId="0" applyNumberFormat="1" applyFont="1" applyFill="1" applyBorder="1" applyProtection="1">
      <protection locked="0"/>
    </xf>
    <xf numFmtId="174" fontId="14" fillId="16" borderId="22" xfId="0" applyNumberFormat="1" applyFont="1" applyFill="1" applyBorder="1" applyProtection="1">
      <protection locked="0"/>
    </xf>
    <xf numFmtId="174" fontId="14" fillId="16" borderId="59" xfId="0" applyNumberFormat="1" applyFont="1" applyFill="1" applyBorder="1" applyProtection="1">
      <protection locked="0"/>
    </xf>
    <xf numFmtId="174" fontId="14" fillId="16" borderId="29" xfId="0" applyNumberFormat="1" applyFont="1" applyFill="1" applyBorder="1" applyProtection="1">
      <protection locked="0"/>
    </xf>
    <xf numFmtId="174" fontId="14" fillId="16" borderId="58" xfId="0" applyNumberFormat="1" applyFont="1" applyFill="1" applyBorder="1" applyProtection="1">
      <protection locked="0"/>
    </xf>
    <xf numFmtId="174" fontId="14" fillId="16" borderId="8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7" xfId="0" applyNumberFormat="1" applyFont="1" applyFill="1" applyBorder="1" applyProtection="1">
      <protection locked="0"/>
    </xf>
    <xf numFmtId="174" fontId="12" fillId="16" borderId="76"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7" applyNumberFormat="1" applyFont="1" applyFill="1" applyBorder="1" applyAlignment="1" applyProtection="1">
      <alignment horizontal="center" vertical="top" wrapText="1"/>
      <protection locked="0"/>
    </xf>
    <xf numFmtId="168"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15"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1"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1"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7" applyNumberFormat="1" applyFont="1" applyFill="1" applyBorder="1" applyAlignment="1" applyProtection="1">
      <alignment horizontal="center"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4" fontId="12" fillId="16" borderId="47"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15"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4"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15"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4"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2"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28"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2" fillId="16" borderId="46"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1" xfId="7"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2" fontId="12" fillId="16" borderId="14" xfId="1" applyNumberFormat="1" applyFont="1" applyFill="1" applyBorder="1" applyAlignment="1" applyProtection="1">
      <alignment vertical="top" wrapText="1"/>
      <protection locked="0"/>
    </xf>
    <xf numFmtId="182" fontId="12" fillId="16" borderId="15" xfId="1" applyNumberFormat="1" applyFont="1" applyFill="1" applyBorder="1" applyAlignment="1" applyProtection="1">
      <alignment vertical="top" wrapText="1"/>
      <protection locked="0"/>
    </xf>
    <xf numFmtId="182"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5"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6" xfId="7"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174" fontId="14" fillId="16" borderId="27" xfId="0" applyNumberFormat="1" applyFont="1" applyFill="1" applyBorder="1" applyProtection="1">
      <protection locked="0"/>
    </xf>
    <xf numFmtId="174" fontId="14" fillId="16" borderId="28" xfId="0" applyNumberFormat="1" applyFont="1" applyFill="1" applyBorder="1" applyProtection="1">
      <protection locked="0"/>
    </xf>
    <xf numFmtId="174" fontId="14" fillId="16" borderId="26" xfId="0" applyNumberFormat="1" applyFont="1" applyFill="1" applyBorder="1" applyProtection="1">
      <protection locked="0"/>
    </xf>
    <xf numFmtId="174" fontId="14" fillId="16" borderId="50" xfId="0" applyNumberFormat="1" applyFont="1" applyFill="1" applyBorder="1" applyProtection="1">
      <protection locked="0"/>
    </xf>
    <xf numFmtId="174" fontId="14" fillId="16" borderId="46" xfId="0" applyNumberFormat="1" applyFont="1" applyFill="1" applyBorder="1" applyProtection="1">
      <protection locked="0"/>
    </xf>
    <xf numFmtId="174" fontId="14" fillId="16" borderId="51" xfId="0" applyNumberFormat="1" applyFont="1" applyFill="1" applyBorder="1" applyProtection="1">
      <protection locked="0"/>
    </xf>
    <xf numFmtId="174" fontId="12" fillId="16" borderId="5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7"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49" xfId="0" applyNumberFormat="1" applyFont="1" applyFill="1" applyBorder="1" applyAlignment="1" applyProtection="1">
      <alignment horizontal="center"/>
      <protection locked="0"/>
    </xf>
    <xf numFmtId="0" fontId="17" fillId="16" borderId="51" xfId="0"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8" xfId="0" applyNumberFormat="1" applyFont="1" applyFill="1" applyBorder="1" applyAlignment="1" applyProtection="1">
      <alignment horizontal="center"/>
      <protection locked="0"/>
    </xf>
    <xf numFmtId="0" fontId="17" fillId="16" borderId="5" xfId="0"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83" xfId="0" applyNumberFormat="1" applyFont="1" applyBorder="1"/>
    <xf numFmtId="174" fontId="14" fillId="0" borderId="73" xfId="0" applyNumberFormat="1" applyFont="1" applyBorder="1"/>
    <xf numFmtId="174" fontId="14" fillId="0" borderId="79" xfId="0" applyNumberFormat="1" applyFont="1" applyBorder="1"/>
    <xf numFmtId="174" fontId="12" fillId="0" borderId="81" xfId="0" applyNumberFormat="1" applyFont="1" applyBorder="1"/>
    <xf numFmtId="174" fontId="12" fillId="0" borderId="82"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1"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51" xfId="0" applyNumberFormat="1" applyFont="1" applyFill="1" applyBorder="1"/>
    <xf numFmtId="174" fontId="12" fillId="19" borderId="48" xfId="0" applyNumberFormat="1" applyFont="1" applyFill="1" applyBorder="1"/>
    <xf numFmtId="174" fontId="12" fillId="0" borderId="50" xfId="0" applyNumberFormat="1" applyFont="1" applyFill="1" applyBorder="1"/>
    <xf numFmtId="174" fontId="12" fillId="0" borderId="46"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174" fontId="12" fillId="5" borderId="77" xfId="0" applyNumberFormat="1" applyFont="1" applyFill="1" applyBorder="1" applyProtection="1">
      <protection locked="0"/>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8"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165" fontId="12" fillId="16" borderId="2" xfId="9" applyNumberFormat="1" applyFont="1" applyFill="1" applyBorder="1" applyAlignment="1" applyProtection="1">
      <alignment vertical="top" wrapText="1"/>
      <protection locked="0"/>
    </xf>
    <xf numFmtId="165" fontId="12" fillId="16" borderId="14" xfId="9" applyNumberFormat="1" applyFont="1" applyFill="1" applyBorder="1" applyAlignment="1" applyProtection="1">
      <alignment vertical="top" wrapText="1"/>
      <protection locked="0"/>
    </xf>
    <xf numFmtId="164" fontId="12" fillId="16" borderId="14" xfId="9" applyNumberFormat="1" applyFont="1" applyFill="1" applyBorder="1" applyAlignment="1" applyProtection="1">
      <alignment vertical="top" wrapText="1"/>
      <protection locked="0"/>
    </xf>
    <xf numFmtId="0" fontId="14" fillId="0" borderId="12"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0" fillId="16" borderId="0" xfId="0" applyFont="1" applyFill="1" applyBorder="1" applyProtection="1">
      <protection locked="0"/>
    </xf>
    <xf numFmtId="17" fontId="14" fillId="16" borderId="14" xfId="0" applyNumberFormat="1" applyFont="1" applyFill="1" applyBorder="1" applyAlignment="1" applyProtection="1">
      <alignment horizontal="center"/>
      <protection locked="0"/>
    </xf>
    <xf numFmtId="165" fontId="12" fillId="0" borderId="0" xfId="1" applyNumberFormat="1" applyFont="1" applyAlignment="1" applyProtection="1">
      <alignment horizontal="right"/>
    </xf>
    <xf numFmtId="174" fontId="14" fillId="0" borderId="8" xfId="0" applyNumberFormat="1" applyFont="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0" fontId="9" fillId="0" borderId="0" xfId="0" applyFont="1" applyBorder="1" applyAlignment="1" applyProtection="1">
      <alignment horizontal="justify" vertical="top" wrapText="1"/>
    </xf>
    <xf numFmtId="0" fontId="31" fillId="0" borderId="102" xfId="0" applyFont="1" applyBorder="1" applyAlignment="1" applyProtection="1">
      <alignment horizontal="justify" vertical="center" wrapText="1"/>
    </xf>
    <xf numFmtId="0" fontId="30" fillId="0" borderId="102" xfId="0" applyFont="1" applyBorder="1" applyAlignment="1">
      <alignment horizontal="justify" vertical="center" wrapText="1"/>
    </xf>
    <xf numFmtId="0" fontId="31" fillId="0" borderId="100" xfId="0" applyFont="1" applyBorder="1" applyAlignment="1" applyProtection="1">
      <alignment horizontal="justify" vertical="center"/>
    </xf>
    <xf numFmtId="0" fontId="7" fillId="0" borderId="101"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00" xfId="0" applyFont="1" applyBorder="1" applyAlignment="1" applyProtection="1">
      <alignment horizontal="justify" vertical="center" wrapText="1"/>
    </xf>
    <xf numFmtId="0" fontId="7" fillId="0" borderId="101" xfId="0" applyFont="1" applyBorder="1" applyAlignment="1">
      <alignment horizontal="justify" vertical="center" wrapText="1"/>
    </xf>
    <xf numFmtId="0" fontId="9" fillId="0" borderId="103" xfId="0" applyFont="1" applyBorder="1" applyAlignment="1" applyProtection="1">
      <alignment horizontal="justify" wrapText="1"/>
    </xf>
    <xf numFmtId="0" fontId="7" fillId="0" borderId="104" xfId="0" applyFont="1" applyBorder="1" applyAlignment="1">
      <alignment horizontal="justify" wrapText="1"/>
    </xf>
    <xf numFmtId="0" fontId="9" fillId="0" borderId="60" xfId="0" applyFont="1" applyBorder="1" applyAlignment="1" applyProtection="1">
      <alignment horizontal="justify" wrapText="1"/>
    </xf>
    <xf numFmtId="0" fontId="7" fillId="0" borderId="23" xfId="0" applyFont="1" applyBorder="1" applyAlignment="1">
      <alignment horizontal="justify" wrapText="1"/>
    </xf>
    <xf numFmtId="0" fontId="9" fillId="0" borderId="2" xfId="0" applyFont="1" applyFill="1" applyBorder="1" applyAlignment="1" applyProtection="1">
      <alignment horizontal="justify" wrapText="1"/>
    </xf>
    <xf numFmtId="0" fontId="7" fillId="0" borderId="15" xfId="0" applyFont="1" applyFill="1" applyBorder="1" applyAlignment="1">
      <alignment horizontal="justify" wrapText="1"/>
    </xf>
    <xf numFmtId="0" fontId="31" fillId="0" borderId="98" xfId="0" applyFont="1" applyBorder="1" applyAlignment="1" applyProtection="1">
      <alignment horizontal="justify" vertical="center" wrapText="1"/>
    </xf>
    <xf numFmtId="0" fontId="30" fillId="0" borderId="99" xfId="0" applyFont="1" applyBorder="1" applyAlignment="1">
      <alignment horizontal="justify" vertical="center" wrapText="1"/>
    </xf>
    <xf numFmtId="0" fontId="9" fillId="0" borderId="7" xfId="0" applyFont="1" applyFill="1" applyBorder="1" applyAlignment="1" applyProtection="1">
      <alignment horizontal="justify" wrapText="1"/>
    </xf>
    <xf numFmtId="0" fontId="7" fillId="0" borderId="18" xfId="0" applyFont="1" applyFill="1" applyBorder="1" applyAlignment="1">
      <alignment horizontal="justify" wrapText="1"/>
    </xf>
    <xf numFmtId="0" fontId="9" fillId="0" borderId="98" xfId="0" applyFont="1" applyBorder="1" applyAlignment="1" applyProtection="1">
      <alignment horizontal="justify" vertical="center" wrapText="1"/>
    </xf>
    <xf numFmtId="0" fontId="7" fillId="0" borderId="99" xfId="0"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 fillId="0" borderId="74" xfId="0" applyFont="1" applyBorder="1"/>
    <xf numFmtId="0" fontId="1"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4" fontId="9" fillId="20" borderId="24"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6"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1"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10">
    <cellStyle name="Comma" xfId="1" builtinId="3"/>
    <cellStyle name="Comma 2" xfId="9"/>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3" fmlaRange="$X$17:$X$31" noThreeD="1" sel="9" val="7"/>
</file>

<file path=xl/ctrlProps/ctrlProp4.xml><?xml version="1.0" encoding="utf-8"?>
<formControlPr xmlns="http://schemas.microsoft.com/office/spreadsheetml/2009/9/main" objectType="Drop" dropLines="10" dropStyle="combo" dx="22" fmlaLink="'Lookup and lists'!$B$27" fmlaRange="'Lookup and lists'!$B$29:$C$307" noThreeD="1" sel="168" val="16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5034" name="Group 316"/>
        <xdr:cNvGrpSpPr>
          <a:grpSpLocks/>
        </xdr:cNvGrpSpPr>
      </xdr:nvGrpSpPr>
      <xdr:grpSpPr bwMode="auto">
        <a:xfrm>
          <a:off x="0" y="0"/>
          <a:ext cx="7534275" cy="6400800"/>
          <a:chOff x="0" y="0"/>
          <a:chExt cx="791" cy="672"/>
        </a:xfrm>
      </xdr:grpSpPr>
      <xdr:grpSp>
        <xdr:nvGrpSpPr>
          <xdr:cNvPr id="195036" name="Group 11"/>
          <xdr:cNvGrpSpPr>
            <a:grpSpLocks/>
          </xdr:cNvGrpSpPr>
        </xdr:nvGrpSpPr>
        <xdr:grpSpPr bwMode="auto">
          <a:xfrm>
            <a:off x="0" y="0"/>
            <a:ext cx="791" cy="672"/>
            <a:chOff x="0" y="0"/>
            <a:chExt cx="791" cy="672"/>
          </a:xfrm>
        </xdr:grpSpPr>
        <xdr:grpSp>
          <xdr:nvGrpSpPr>
            <xdr:cNvPr id="195038" name="Group 12"/>
            <xdr:cNvGrpSpPr>
              <a:grpSpLocks/>
            </xdr:cNvGrpSpPr>
          </xdr:nvGrpSpPr>
          <xdr:grpSpPr bwMode="auto">
            <a:xfrm>
              <a:off x="0" y="0"/>
              <a:ext cx="791" cy="672"/>
              <a:chOff x="12" y="17"/>
              <a:chExt cx="791" cy="672"/>
            </a:xfrm>
          </xdr:grpSpPr>
          <xdr:pic>
            <xdr:nvPicPr>
              <xdr:cNvPr id="195040"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041"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5042" name="Group 15"/>
              <xdr:cNvGrpSpPr>
                <a:grpSpLocks/>
              </xdr:cNvGrpSpPr>
            </xdr:nvGrpSpPr>
            <xdr:grpSpPr bwMode="auto">
              <a:xfrm>
                <a:off x="416" y="255"/>
                <a:ext cx="367" cy="413"/>
                <a:chOff x="416" y="255"/>
                <a:chExt cx="367" cy="413"/>
              </a:xfrm>
            </xdr:grpSpPr>
            <xdr:pic>
              <xdr:nvPicPr>
                <xdr:cNvPr id="195047"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5048" name="Group 17"/>
                <xdr:cNvGrpSpPr>
                  <a:grpSpLocks/>
                </xdr:cNvGrpSpPr>
              </xdr:nvGrpSpPr>
              <xdr:grpSpPr bwMode="auto">
                <a:xfrm>
                  <a:off x="432" y="264"/>
                  <a:ext cx="286" cy="128"/>
                  <a:chOff x="426" y="263"/>
                  <a:chExt cx="290" cy="130"/>
                </a:xfrm>
              </xdr:grpSpPr>
              <xdr:pic>
                <xdr:nvPicPr>
                  <xdr:cNvPr id="195050"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5051"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5043" name="Group 21"/>
              <xdr:cNvGrpSpPr>
                <a:grpSpLocks/>
              </xdr:cNvGrpSpPr>
            </xdr:nvGrpSpPr>
            <xdr:grpSpPr bwMode="auto">
              <a:xfrm>
                <a:off x="76" y="364"/>
                <a:ext cx="289" cy="256"/>
                <a:chOff x="76" y="364"/>
                <a:chExt cx="289" cy="256"/>
              </a:xfrm>
            </xdr:grpSpPr>
            <xdr:pic>
              <xdr:nvPicPr>
                <xdr:cNvPr id="195044"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045"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046"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5039"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617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9617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96193" name="TextBox2"/>
            <xdr:cNvPicPr preferRelativeResize="0">
              <a:picLocks noChangeArrowheads="1" noChangeShapeType="1"/>
              <a:extLst>
                <a:ext uri="{84589F7E-364E-4C9E-8A38-B11213B215E9}">
                  <a14:cameraTool cellRange="FinYear" spid="_x0000_s196406"/>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961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90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Budget\A-Schedule\updated%20A1%20Schedule%20-%20Ver%202%208_Dec%202015%2017_03_2016%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sheetData sheetId="1"/>
      <sheetData sheetId="2"/>
      <sheetData sheetId="3"/>
      <sheetData sheetId="4">
        <row r="2">
          <cell r="A2" t="str">
            <v>Vote 1 - EXECUTIVE AND COUNCIL</v>
          </cell>
        </row>
        <row r="3">
          <cell r="A3" t="str">
            <v>Vote 2 - MUNICIPAL MANAGER</v>
          </cell>
          <cell r="E3" t="str">
            <v>1.1 - COUNCIL GENERAL</v>
          </cell>
        </row>
        <row r="4">
          <cell r="A4" t="str">
            <v>Vote 3 - FINANCE</v>
          </cell>
          <cell r="E4">
            <v>0</v>
          </cell>
        </row>
        <row r="5">
          <cell r="A5" t="str">
            <v>Vote 4 - CORPORATE SERVICES MANAGEMENT</v>
          </cell>
          <cell r="E5">
            <v>0</v>
          </cell>
        </row>
        <row r="6">
          <cell r="A6" t="str">
            <v>Vote 5 - COMMUNITY SERVICES MANAGEMENT</v>
          </cell>
          <cell r="E6">
            <v>0</v>
          </cell>
        </row>
        <row r="7">
          <cell r="A7" t="str">
            <v>Vote 6 - TECHNICAL SERVICES</v>
          </cell>
          <cell r="E7">
            <v>0</v>
          </cell>
        </row>
        <row r="8">
          <cell r="A8" t="str">
            <v xml:space="preserve">Vote 7 - </v>
          </cell>
          <cell r="E8">
            <v>0</v>
          </cell>
        </row>
        <row r="9">
          <cell r="A9" t="str">
            <v>Vote 8 - [NAME OF VOTE 8]</v>
          </cell>
          <cell r="E9">
            <v>0</v>
          </cell>
        </row>
        <row r="10">
          <cell r="A10" t="str">
            <v>Vote 9 - [NAME OF VOTE 9]</v>
          </cell>
          <cell r="E10">
            <v>0</v>
          </cell>
        </row>
        <row r="11">
          <cell r="A11" t="str">
            <v>Vote 10 - [NAME OF VOTE 10]</v>
          </cell>
          <cell r="E11">
            <v>0</v>
          </cell>
        </row>
        <row r="12">
          <cell r="A12" t="str">
            <v>Vote 11 - [NAME OF VOTE 11]</v>
          </cell>
          <cell r="E12">
            <v>0</v>
          </cell>
        </row>
        <row r="13">
          <cell r="A13" t="str">
            <v>Vote 12 - [NAME OF VOTE 12]</v>
          </cell>
        </row>
        <row r="14">
          <cell r="A14" t="str">
            <v>Vote 13 - [NAME OF VOTE 13]</v>
          </cell>
          <cell r="E14" t="str">
            <v>2.1 - MUNICIPAL MANAGER</v>
          </cell>
        </row>
        <row r="15">
          <cell r="A15" t="str">
            <v>Vote 14 - [NAME OF VOTE 14]</v>
          </cell>
          <cell r="E15" t="str">
            <v>2.2 - URBAN RENEWAL</v>
          </cell>
        </row>
        <row r="16">
          <cell r="A16" t="str">
            <v>Vote 15 - [NAME OF VOTE 15]</v>
          </cell>
          <cell r="E16">
            <v>0</v>
          </cell>
        </row>
        <row r="17">
          <cell r="E17">
            <v>0</v>
          </cell>
        </row>
        <row r="18">
          <cell r="E18">
            <v>0</v>
          </cell>
        </row>
        <row r="19">
          <cell r="E19">
            <v>0</v>
          </cell>
        </row>
        <row r="20">
          <cell r="E20">
            <v>0</v>
          </cell>
        </row>
        <row r="21">
          <cell r="E21">
            <v>0</v>
          </cell>
        </row>
        <row r="22">
          <cell r="E22">
            <v>0</v>
          </cell>
        </row>
        <row r="23">
          <cell r="E23">
            <v>0</v>
          </cell>
        </row>
        <row r="25">
          <cell r="E25" t="str">
            <v>3.1 - FINANCE</v>
          </cell>
        </row>
        <row r="26">
          <cell r="E26" t="str">
            <v>3.2 - STORES</v>
          </cell>
        </row>
        <row r="27">
          <cell r="E27" t="str">
            <v>3.3 - FLEET</v>
          </cell>
        </row>
        <row r="28">
          <cell r="E28">
            <v>0</v>
          </cell>
        </row>
        <row r="29">
          <cell r="E29">
            <v>0</v>
          </cell>
        </row>
        <row r="30">
          <cell r="E30">
            <v>0</v>
          </cell>
        </row>
        <row r="31">
          <cell r="E31">
            <v>0</v>
          </cell>
        </row>
        <row r="32">
          <cell r="E32">
            <v>0</v>
          </cell>
        </row>
        <row r="33">
          <cell r="E33">
            <v>0</v>
          </cell>
        </row>
        <row r="34">
          <cell r="E34">
            <v>0</v>
          </cell>
        </row>
        <row r="36">
          <cell r="E36">
            <v>0</v>
          </cell>
        </row>
        <row r="37">
          <cell r="E37" t="str">
            <v>4.2 - HUMAN RESOURCES</v>
          </cell>
        </row>
        <row r="38">
          <cell r="E38" t="str">
            <v>4.3 - ADMINISTRATION</v>
          </cell>
        </row>
        <row r="39">
          <cell r="E39" t="str">
            <v>4.4 - CORPORATE SERVICES MANAGEMENT</v>
          </cell>
        </row>
        <row r="40">
          <cell r="E40">
            <v>0</v>
          </cell>
        </row>
        <row r="41">
          <cell r="E41">
            <v>0</v>
          </cell>
        </row>
        <row r="42">
          <cell r="E42">
            <v>0</v>
          </cell>
        </row>
        <row r="43">
          <cell r="E43">
            <v>0</v>
          </cell>
        </row>
        <row r="44">
          <cell r="E44">
            <v>0</v>
          </cell>
        </row>
        <row r="45">
          <cell r="E45">
            <v>0</v>
          </cell>
        </row>
        <row r="47">
          <cell r="E47" t="str">
            <v>5.1 - COMMUNITY SERVICES MANAGEMENT</v>
          </cell>
        </row>
        <row r="48">
          <cell r="E48" t="str">
            <v>5.2 - LIBRARY</v>
          </cell>
        </row>
        <row r="49">
          <cell r="E49" t="str">
            <v>5.3 - HEALTH GENERAL</v>
          </cell>
        </row>
        <row r="50">
          <cell r="E50" t="str">
            <v>5.4 - REGISTRATION AUTHORITY</v>
          </cell>
        </row>
        <row r="51">
          <cell r="E51" t="str">
            <v>5.5 - LICENCING &amp; TRAFFIC</v>
          </cell>
        </row>
        <row r="52">
          <cell r="E52" t="str">
            <v>5.6 - PARKS &amp; CEMETRIES</v>
          </cell>
        </row>
        <row r="53">
          <cell r="E53" t="str">
            <v>5.7 - SOLID WASTE</v>
          </cell>
        </row>
        <row r="54">
          <cell r="E54" t="str">
            <v>5.8 - SPORTS ARTS AND CULTURE</v>
          </cell>
        </row>
        <row r="55">
          <cell r="E55" t="str">
            <v>5.9 - HIV/AIDS</v>
          </cell>
        </row>
        <row r="56">
          <cell r="E56">
            <v>0</v>
          </cell>
        </row>
        <row r="58">
          <cell r="E58" t="str">
            <v>6.1 - ELECTRICITY</v>
          </cell>
        </row>
        <row r="59">
          <cell r="E59" t="str">
            <v>6.2 - WATER SERVICES</v>
          </cell>
        </row>
        <row r="60">
          <cell r="E60" t="str">
            <v>6.3 - TECHNICAL SERVICES MANAGEMENT</v>
          </cell>
        </row>
        <row r="61">
          <cell r="E61" t="str">
            <v>6.4 - HOUSING &amp; BUILDING CONTROL</v>
          </cell>
        </row>
        <row r="62">
          <cell r="E62" t="str">
            <v>6.5 - ROADS &amp; STORMWATER</v>
          </cell>
        </row>
        <row r="63">
          <cell r="E63" t="str">
            <v>6.6 - FLEET MANAGEMENT</v>
          </cell>
        </row>
        <row r="64">
          <cell r="E64" t="str">
            <v>6.7 - SEWERAGE NETWORK</v>
          </cell>
        </row>
        <row r="69">
          <cell r="E69" t="str">
            <v>7.5 - HOUSING &amp; BUILDING CONTROL</v>
          </cell>
        </row>
        <row r="70">
          <cell r="E70" t="str">
            <v>HOUSING &amp; BUILDING CONTROL</v>
          </cell>
        </row>
        <row r="71">
          <cell r="E71">
            <v>0</v>
          </cell>
        </row>
        <row r="72">
          <cell r="E72">
            <v>0</v>
          </cell>
        </row>
        <row r="73">
          <cell r="E73">
            <v>0</v>
          </cell>
        </row>
        <row r="74">
          <cell r="E74">
            <v>0</v>
          </cell>
        </row>
        <row r="75">
          <cell r="E75">
            <v>0</v>
          </cell>
        </row>
        <row r="77">
          <cell r="E77" t="str">
            <v>8.1 - [Name of sub-vote]</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8">
          <cell r="E88" t="str">
            <v>9.1 - [Name of sub-vote]</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9">
          <cell r="E99" t="str">
            <v>10.1 - [Name of sub-vote]</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10">
          <cell r="E110" t="str">
            <v>11.1 - [Name of sub-vote]</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1">
          <cell r="E121" t="str">
            <v>12.1 - [Name of sub-vote]</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2">
          <cell r="E132" t="str">
            <v>13.1 - [Name of sub-vote]</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3">
          <cell r="E143" t="str">
            <v>14.1 - [Name of sub-vote]</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4">
          <cell r="E154" t="str">
            <v>15.1 - [Name of sub-vote]</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sheetData>
      <sheetData sheetId="5"/>
      <sheetData sheetId="6"/>
      <sheetData sheetId="7"/>
      <sheetData sheetId="8"/>
      <sheetData sheetId="9"/>
      <sheetData sheetId="10"/>
      <sheetData sheetId="11">
        <row r="36">
          <cell r="C36">
            <v>153405509.93000001</v>
          </cell>
          <cell r="D36">
            <v>168264595</v>
          </cell>
          <cell r="F36">
            <v>305416992.68000007</v>
          </cell>
          <cell r="G36">
            <v>298835365.99000001</v>
          </cell>
          <cell r="H36">
            <v>298835365.99000001</v>
          </cell>
        </row>
        <row r="60">
          <cell r="D60">
            <v>180545508</v>
          </cell>
          <cell r="F60">
            <v>257174350.6902</v>
          </cell>
          <cell r="G60">
            <v>259141861.59999999</v>
          </cell>
          <cell r="H60">
            <v>259141861.59999999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opLeftCell="A16" zoomScaleNormal="100" workbookViewId="0"/>
  </sheetViews>
  <sheetFormatPr defaultColWidth="8" defaultRowHeight="12.75" x14ac:dyDescent="0.2"/>
  <cols>
    <col min="1" max="16384" width="8" style="1240"/>
  </cols>
  <sheetData>
    <row r="1" spans="1:1" x14ac:dyDescent="0.2">
      <c r="A1" s="1620"/>
    </row>
  </sheetData>
  <sheetProtection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12" zoomScaleNormal="100" workbookViewId="0">
      <selection activeCell="D25" sqref="D25:E25"/>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LIM471 Ephraim Mogale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2012/13</v>
      </c>
      <c r="D2" s="983" t="str">
        <f>head1A</f>
        <v>2013/14</v>
      </c>
      <c r="E2" s="984" t="str">
        <f>Head1</f>
        <v>2014/15</v>
      </c>
      <c r="F2" s="2659" t="str">
        <f>Head2</f>
        <v>Current Year 2015/16</v>
      </c>
      <c r="G2" s="2660"/>
      <c r="H2" s="2660"/>
      <c r="I2" s="2661" t="str">
        <f>Head3</f>
        <v>2016/17 Medium Term Revenue &amp; Expenditure Framework</v>
      </c>
      <c r="J2" s="2662"/>
      <c r="K2" s="2663"/>
      <c r="L2" s="2664" t="str">
        <f>Head4</f>
        <v>LTFS</v>
      </c>
      <c r="M2" s="2665"/>
      <c r="N2" s="2665"/>
      <c r="O2" s="2665"/>
      <c r="P2" s="2665"/>
      <c r="Q2" s="2665"/>
      <c r="R2" s="2665"/>
      <c r="S2" s="2665"/>
      <c r="T2" s="2665"/>
      <c r="U2" s="2665"/>
      <c r="V2" s="2665"/>
      <c r="W2" s="2666"/>
    </row>
    <row r="3" spans="1:24"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4" ht="11.25" customHeight="1" x14ac:dyDescent="0.25">
      <c r="A4" s="1060" t="s">
        <v>1314</v>
      </c>
      <c r="B4" s="1045">
        <v>1</v>
      </c>
      <c r="C4" s="1061"/>
      <c r="D4" s="1061"/>
      <c r="E4" s="1062"/>
      <c r="F4" s="1063"/>
      <c r="G4" s="1061"/>
      <c r="H4" s="1064"/>
      <c r="I4" s="1065"/>
      <c r="J4" s="1061"/>
      <c r="K4" s="1615"/>
      <c r="L4" s="66"/>
      <c r="M4" s="67"/>
      <c r="N4" s="67"/>
      <c r="O4" s="67"/>
      <c r="P4" s="67"/>
      <c r="Q4" s="67"/>
      <c r="R4" s="67"/>
      <c r="S4" s="67"/>
      <c r="T4" s="67"/>
      <c r="U4" s="67"/>
      <c r="V4" s="67"/>
      <c r="W4" s="67"/>
    </row>
    <row r="5" spans="1:24" ht="11.25" customHeight="1" x14ac:dyDescent="0.25">
      <c r="A5" s="1066" t="str">
        <f>A3A!A5</f>
        <v>Vote 1 - EXECUTIVE AND COUNCIL</v>
      </c>
      <c r="B5" s="1045"/>
      <c r="C5" s="1067">
        <f>A3A!C5</f>
        <v>6802888.2999999998</v>
      </c>
      <c r="D5" s="1067">
        <f>A3A!D5</f>
        <v>1760665.95</v>
      </c>
      <c r="E5" s="1068">
        <f>A3A!E5</f>
        <v>7384202</v>
      </c>
      <c r="F5" s="1069">
        <f>A3A!F5</f>
        <v>8168134.71</v>
      </c>
      <c r="G5" s="1067">
        <f>A3A!G5</f>
        <v>7832325.3600000003</v>
      </c>
      <c r="H5" s="1070">
        <f>A3A!H5</f>
        <v>7832325.3600000003</v>
      </c>
      <c r="I5" s="1071">
        <f>A3A!I5</f>
        <v>8286104.8799999999</v>
      </c>
      <c r="J5" s="1067">
        <f>A3A!J5</f>
        <v>7382111.1699999999</v>
      </c>
      <c r="K5" s="1610">
        <f>A3A!K5</f>
        <v>7756537.8399999999</v>
      </c>
      <c r="L5" s="66"/>
      <c r="M5" s="67"/>
      <c r="N5" s="67"/>
      <c r="O5" s="67"/>
      <c r="P5" s="67"/>
      <c r="Q5" s="67"/>
      <c r="R5" s="67"/>
      <c r="S5" s="67"/>
      <c r="T5" s="67"/>
      <c r="U5" s="67"/>
      <c r="V5" s="67"/>
      <c r="W5" s="67"/>
    </row>
    <row r="6" spans="1:24" ht="11.25" customHeight="1" x14ac:dyDescent="0.25">
      <c r="A6" s="1066" t="str">
        <f>A3A!A16</f>
        <v>Vote 2 - MUNICIPAL MANAGER</v>
      </c>
      <c r="B6" s="1045"/>
      <c r="C6" s="1067">
        <f>A3A!C16</f>
        <v>924</v>
      </c>
      <c r="D6" s="1067">
        <f>A3A!D16</f>
        <v>0</v>
      </c>
      <c r="E6" s="1068">
        <f>A3A!E16</f>
        <v>0</v>
      </c>
      <c r="F6" s="1069">
        <f>A3A!F16</f>
        <v>930000</v>
      </c>
      <c r="G6" s="1067">
        <f>A3A!G16</f>
        <v>930000</v>
      </c>
      <c r="H6" s="1070">
        <f>A3A!H16</f>
        <v>930000</v>
      </c>
      <c r="I6" s="1071">
        <f>A3A!I16</f>
        <v>750000</v>
      </c>
      <c r="J6" s="1067">
        <f>A3A!J16</f>
        <v>788000</v>
      </c>
      <c r="K6" s="1610">
        <f>A3A!K16</f>
        <v>0</v>
      </c>
      <c r="L6" s="66"/>
      <c r="M6" s="67"/>
      <c r="N6" s="67"/>
      <c r="O6" s="67"/>
      <c r="P6" s="67"/>
      <c r="Q6" s="67"/>
      <c r="R6" s="67"/>
      <c r="S6" s="67"/>
      <c r="T6" s="67"/>
      <c r="U6" s="67"/>
      <c r="V6" s="67"/>
      <c r="W6" s="67"/>
    </row>
    <row r="7" spans="1:24" ht="11.25" customHeight="1" x14ac:dyDescent="0.25">
      <c r="A7" s="1066" t="str">
        <f>A3A!A27</f>
        <v>Vote 3 - FINANCE</v>
      </c>
      <c r="B7" s="1045"/>
      <c r="C7" s="1067">
        <f>A3A!C27</f>
        <v>65389075.902000003</v>
      </c>
      <c r="D7" s="1067">
        <f>A3A!D27</f>
        <v>35770545.009999998</v>
      </c>
      <c r="E7" s="1068">
        <f>A3A!E27</f>
        <v>130039734</v>
      </c>
      <c r="F7" s="1069">
        <f>A3A!F27</f>
        <v>145947078.93000001</v>
      </c>
      <c r="G7" s="1067">
        <f>A3A!G27</f>
        <v>146804868.28</v>
      </c>
      <c r="H7" s="1070">
        <f>A3A!H27</f>
        <v>146804868.28</v>
      </c>
      <c r="I7" s="1071">
        <f>A3A!I27</f>
        <v>147592640.38</v>
      </c>
      <c r="J7" s="1067">
        <f>A3A!J27</f>
        <v>159135918.80000001</v>
      </c>
      <c r="K7" s="1610">
        <f>A3A!K27</f>
        <v>169465693.93000001</v>
      </c>
      <c r="L7" s="66"/>
      <c r="M7" s="67"/>
      <c r="N7" s="67"/>
      <c r="O7" s="67"/>
      <c r="P7" s="67"/>
      <c r="Q7" s="67"/>
      <c r="R7" s="67"/>
      <c r="S7" s="67"/>
      <c r="T7" s="67"/>
      <c r="U7" s="67"/>
      <c r="V7" s="67"/>
      <c r="W7" s="67"/>
    </row>
    <row r="8" spans="1:24" ht="11.25" customHeight="1" x14ac:dyDescent="0.25">
      <c r="A8" s="1066" t="str">
        <f>A3A!A38</f>
        <v>Vote 4 - CORPORATE SERVICES MANAGEMENT</v>
      </c>
      <c r="B8" s="1045"/>
      <c r="C8" s="1067">
        <f>A3A!C38</f>
        <v>33745797.179200001</v>
      </c>
      <c r="D8" s="1067">
        <f>A3A!D38</f>
        <v>73347019.839999989</v>
      </c>
      <c r="E8" s="1068">
        <f>A3A!E38</f>
        <v>1971</v>
      </c>
      <c r="F8" s="1069">
        <f>A3A!F38</f>
        <v>0</v>
      </c>
      <c r="G8" s="1067">
        <f>A3A!G38</f>
        <v>0</v>
      </c>
      <c r="H8" s="1070">
        <f>A3A!H38</f>
        <v>0</v>
      </c>
      <c r="I8" s="1071">
        <f>A3A!I38</f>
        <v>0</v>
      </c>
      <c r="J8" s="1067">
        <f>A3A!J38</f>
        <v>0</v>
      </c>
      <c r="K8" s="1610">
        <f>A3A!K38</f>
        <v>0</v>
      </c>
      <c r="L8" s="66"/>
      <c r="M8" s="67"/>
      <c r="N8" s="67"/>
      <c r="O8" s="67"/>
      <c r="P8" s="67"/>
      <c r="Q8" s="67"/>
      <c r="R8" s="67"/>
      <c r="S8" s="67"/>
      <c r="T8" s="67"/>
      <c r="U8" s="67"/>
      <c r="V8" s="67"/>
      <c r="W8" s="67"/>
    </row>
    <row r="9" spans="1:24" ht="11.25" customHeight="1" x14ac:dyDescent="0.25">
      <c r="A9" s="1066" t="str">
        <f>A3A!A49</f>
        <v>Vote 5 - COMMUNITY SERVICES MANAGEMENT</v>
      </c>
      <c r="B9" s="1045"/>
      <c r="C9" s="1067">
        <f>A3A!C49</f>
        <v>9916195.1699999999</v>
      </c>
      <c r="D9" s="1067">
        <f>A3A!D49</f>
        <v>12998802.52</v>
      </c>
      <c r="E9" s="1068">
        <f>A3A!E49</f>
        <v>10121440</v>
      </c>
      <c r="F9" s="1069">
        <f>A3A!F49</f>
        <v>17033257.880000003</v>
      </c>
      <c r="G9" s="1067">
        <f>A3A!G49</f>
        <v>15441906.790000001</v>
      </c>
      <c r="H9" s="1070">
        <f>A3A!H49</f>
        <v>15441906.790000001</v>
      </c>
      <c r="I9" s="1071">
        <f>A3A!I49</f>
        <v>16368421.199999999</v>
      </c>
      <c r="J9" s="1067">
        <f>A3A!J49</f>
        <v>17350526.479999997</v>
      </c>
      <c r="K9" s="1610">
        <f>A3A!K49</f>
        <v>18391558.059999999</v>
      </c>
      <c r="L9" s="66"/>
      <c r="M9" s="67"/>
      <c r="N9" s="67"/>
      <c r="O9" s="67"/>
      <c r="P9" s="67"/>
      <c r="Q9" s="67"/>
      <c r="R9" s="67"/>
      <c r="S9" s="67"/>
      <c r="T9" s="67"/>
      <c r="U9" s="67"/>
      <c r="V9" s="67"/>
      <c r="W9" s="67"/>
    </row>
    <row r="10" spans="1:24" ht="11.25" customHeight="1" x14ac:dyDescent="0.25">
      <c r="A10" s="1066" t="str">
        <f>A3A!A60</f>
        <v>Vote 6 - TECHNICAL SERVICES</v>
      </c>
      <c r="B10" s="1045"/>
      <c r="C10" s="1067">
        <f>A3A!C60</f>
        <v>63034296.419000007</v>
      </c>
      <c r="D10" s="1067">
        <f>A3A!D60</f>
        <v>56668474.680000007</v>
      </c>
      <c r="E10" s="1068">
        <f>A3A!E60</f>
        <v>70852473</v>
      </c>
      <c r="F10" s="1069">
        <f>A3A!F60</f>
        <v>85095879.170000002</v>
      </c>
      <c r="G10" s="1067">
        <f>A3A!G60</f>
        <v>88132761.170000002</v>
      </c>
      <c r="H10" s="1070">
        <f>A3A!H60</f>
        <v>88132761.170000002</v>
      </c>
      <c r="I10" s="1071">
        <f>A3A!I60</f>
        <v>88771698.959999993</v>
      </c>
      <c r="J10" s="1067">
        <f>A3A!J60</f>
        <v>94444980.890000001</v>
      </c>
      <c r="K10" s="1610">
        <f>A3A!K60</f>
        <v>100868939.75</v>
      </c>
      <c r="L10" s="66"/>
      <c r="M10" s="67"/>
      <c r="N10" s="67"/>
      <c r="O10" s="67"/>
      <c r="P10" s="67"/>
      <c r="Q10" s="67"/>
      <c r="R10" s="67"/>
      <c r="S10" s="67"/>
      <c r="T10" s="67"/>
      <c r="U10" s="67"/>
      <c r="V10" s="67"/>
      <c r="W10" s="67"/>
    </row>
    <row r="11" spans="1:24" ht="11.25" customHeight="1" x14ac:dyDescent="0.25">
      <c r="A11" s="1066" t="str">
        <f>A3A!A68</f>
        <v xml:space="preserve">Vote 7 - </v>
      </c>
      <c r="B11" s="1045"/>
      <c r="C11" s="1067">
        <f>A3A!C68</f>
        <v>0</v>
      </c>
      <c r="D11" s="1067">
        <f>A3A!D68</f>
        <v>0</v>
      </c>
      <c r="E11" s="1068">
        <f>A3A!E68</f>
        <v>330393</v>
      </c>
      <c r="F11" s="1069">
        <f>A3A!F68</f>
        <v>0</v>
      </c>
      <c r="G11" s="1067">
        <f>A3A!G68</f>
        <v>0</v>
      </c>
      <c r="H11" s="1070">
        <f>A3A!H68</f>
        <v>0</v>
      </c>
      <c r="I11" s="1071">
        <f>A3A!I68</f>
        <v>0</v>
      </c>
      <c r="J11" s="1067">
        <f>A3A!J68</f>
        <v>0</v>
      </c>
      <c r="K11" s="1610">
        <f>A3A!K68</f>
        <v>0</v>
      </c>
      <c r="L11" s="66"/>
      <c r="M11" s="67"/>
      <c r="N11" s="67"/>
      <c r="O11" s="67"/>
      <c r="P11" s="67"/>
      <c r="Q11" s="67"/>
      <c r="R11" s="67"/>
      <c r="S11" s="67"/>
      <c r="T11" s="67"/>
      <c r="U11" s="67"/>
      <c r="V11" s="67"/>
      <c r="W11" s="67"/>
    </row>
    <row r="12" spans="1:24" ht="11.25" customHeight="1" x14ac:dyDescent="0.25">
      <c r="A12" s="1066" t="str">
        <f>A3A!A76</f>
        <v>Vote 8 - [NAME OF VOTE 8]</v>
      </c>
      <c r="B12" s="1045"/>
      <c r="C12" s="1067">
        <f>A3A!C76</f>
        <v>0</v>
      </c>
      <c r="D12" s="1067">
        <f>A3A!D76</f>
        <v>0</v>
      </c>
      <c r="E12" s="1068">
        <f>A3A!E76</f>
        <v>0</v>
      </c>
      <c r="F12" s="1069">
        <f>A3A!F76</f>
        <v>0</v>
      </c>
      <c r="G12" s="1067">
        <f>A3A!G76</f>
        <v>0</v>
      </c>
      <c r="H12" s="1070">
        <f>A3A!H76</f>
        <v>0</v>
      </c>
      <c r="I12" s="1071">
        <f>A3A!I76</f>
        <v>0</v>
      </c>
      <c r="J12" s="1067">
        <f>A3A!J76</f>
        <v>0</v>
      </c>
      <c r="K12" s="1610">
        <f>A3A!K76</f>
        <v>0</v>
      </c>
      <c r="L12" s="66"/>
      <c r="M12" s="67"/>
      <c r="N12" s="67"/>
      <c r="O12" s="67"/>
      <c r="P12" s="67"/>
      <c r="Q12" s="67"/>
      <c r="R12" s="67"/>
      <c r="S12" s="67"/>
      <c r="T12" s="67"/>
      <c r="U12" s="67"/>
      <c r="V12" s="67"/>
      <c r="W12" s="67"/>
    </row>
    <row r="13" spans="1:24" ht="11.25" customHeight="1" x14ac:dyDescent="0.25">
      <c r="A13" s="1066" t="str">
        <f>A3A!A87</f>
        <v>Vote 9 - [NAME OF VOTE 9]</v>
      </c>
      <c r="B13" s="1045"/>
      <c r="C13" s="1067">
        <f>A3A!C87</f>
        <v>0</v>
      </c>
      <c r="D13" s="1067">
        <f>A3A!D87</f>
        <v>0</v>
      </c>
      <c r="E13" s="1068">
        <f>A3A!E87</f>
        <v>0</v>
      </c>
      <c r="F13" s="1069">
        <f>A3A!F87</f>
        <v>0</v>
      </c>
      <c r="G13" s="1067">
        <f>A3A!G87</f>
        <v>0</v>
      </c>
      <c r="H13" s="1070">
        <f>A3A!H87</f>
        <v>0</v>
      </c>
      <c r="I13" s="1071">
        <f>A3A!I87</f>
        <v>0</v>
      </c>
      <c r="J13" s="1067">
        <f>A3A!J87</f>
        <v>0</v>
      </c>
      <c r="K13" s="1610">
        <f>A3A!K87</f>
        <v>0</v>
      </c>
      <c r="L13" s="66"/>
      <c r="M13" s="67"/>
      <c r="N13" s="67"/>
      <c r="O13" s="67"/>
      <c r="P13" s="67"/>
      <c r="Q13" s="67"/>
      <c r="R13" s="67"/>
      <c r="S13" s="67"/>
      <c r="T13" s="67"/>
      <c r="U13" s="67"/>
      <c r="V13" s="67"/>
      <c r="W13" s="67"/>
      <c r="X13" s="247"/>
    </row>
    <row r="14" spans="1:24" ht="11.25" customHeight="1" x14ac:dyDescent="0.25">
      <c r="A14" s="1066" t="str">
        <f>A3A!A98</f>
        <v>Vote 10 - [NAME OF VOTE 10]</v>
      </c>
      <c r="B14" s="1045"/>
      <c r="C14" s="1067">
        <f>A3A!C98</f>
        <v>0</v>
      </c>
      <c r="D14" s="1067">
        <f>A3A!D98</f>
        <v>0</v>
      </c>
      <c r="E14" s="1068">
        <f>A3A!E98</f>
        <v>0</v>
      </c>
      <c r="F14" s="1069">
        <f>A3A!F98</f>
        <v>0</v>
      </c>
      <c r="G14" s="1067">
        <f>A3A!G98</f>
        <v>0</v>
      </c>
      <c r="H14" s="1070">
        <f>A3A!H98</f>
        <v>0</v>
      </c>
      <c r="I14" s="1071">
        <f>A3A!I98</f>
        <v>0</v>
      </c>
      <c r="J14" s="1613">
        <f>A3A!J98</f>
        <v>0</v>
      </c>
      <c r="K14" s="1610">
        <f>A3A!K98</f>
        <v>0</v>
      </c>
      <c r="L14" s="66"/>
      <c r="M14" s="67"/>
      <c r="N14" s="67"/>
      <c r="O14" s="67"/>
      <c r="P14" s="67"/>
      <c r="Q14" s="67"/>
      <c r="R14" s="67"/>
      <c r="S14" s="67"/>
      <c r="T14" s="67"/>
      <c r="U14" s="67"/>
      <c r="V14" s="67"/>
      <c r="W14" s="67"/>
      <c r="X14" s="247"/>
    </row>
    <row r="15" spans="1:24" ht="11.25" customHeight="1" x14ac:dyDescent="0.25">
      <c r="A15" s="1066" t="str">
        <f>A3A!A109</f>
        <v>Vote 11 - [NAME OF VOTE 11]</v>
      </c>
      <c r="B15" s="1045"/>
      <c r="C15" s="70">
        <f>A3A!C109</f>
        <v>0</v>
      </c>
      <c r="D15" s="70">
        <f>A3A!D109</f>
        <v>0</v>
      </c>
      <c r="E15" s="69">
        <f>A3A!E109</f>
        <v>0</v>
      </c>
      <c r="F15" s="72">
        <f>A3A!F109</f>
        <v>0</v>
      </c>
      <c r="G15" s="70">
        <f>A3A!G109</f>
        <v>0</v>
      </c>
      <c r="H15" s="71">
        <f>A3A!H109</f>
        <v>0</v>
      </c>
      <c r="I15" s="1130">
        <f>A3A!I109</f>
        <v>0</v>
      </c>
      <c r="J15" s="69">
        <f>A3A!J109</f>
        <v>0</v>
      </c>
      <c r="K15" s="1131">
        <f>A3A!K109</f>
        <v>0</v>
      </c>
      <c r="L15" s="71">
        <f>A5A!L115</f>
        <v>0</v>
      </c>
      <c r="M15" s="67"/>
      <c r="N15" s="67"/>
      <c r="O15" s="67"/>
      <c r="P15" s="67"/>
      <c r="Q15" s="67"/>
      <c r="R15" s="67"/>
      <c r="S15" s="67"/>
      <c r="T15" s="67"/>
      <c r="U15" s="67"/>
      <c r="V15" s="67"/>
      <c r="W15" s="67"/>
      <c r="X15" s="247"/>
    </row>
    <row r="16" spans="1:24" ht="11.25" customHeight="1" x14ac:dyDescent="0.25">
      <c r="A16" s="1066" t="str">
        <f>A3A!A120</f>
        <v>Vote 12 - [NAME OF VOTE 12]</v>
      </c>
      <c r="B16" s="1045"/>
      <c r="C16" s="70">
        <f>A3A!C120</f>
        <v>0</v>
      </c>
      <c r="D16" s="70">
        <f>A3A!D120</f>
        <v>0</v>
      </c>
      <c r="E16" s="69">
        <f>A3A!E120</f>
        <v>0</v>
      </c>
      <c r="F16" s="72">
        <f>A3A!F120</f>
        <v>0</v>
      </c>
      <c r="G16" s="70">
        <f>A3A!G120</f>
        <v>0</v>
      </c>
      <c r="H16" s="71">
        <f>A3A!H120</f>
        <v>0</v>
      </c>
      <c r="I16" s="1130">
        <f>A3A!I120</f>
        <v>0</v>
      </c>
      <c r="J16" s="69">
        <f>A3A!J120</f>
        <v>0</v>
      </c>
      <c r="K16" s="1131">
        <f>A3A!K120</f>
        <v>0</v>
      </c>
      <c r="L16" s="71">
        <f>A5A!L126</f>
        <v>0</v>
      </c>
      <c r="M16" s="67"/>
      <c r="N16" s="67"/>
      <c r="O16" s="67"/>
      <c r="P16" s="67"/>
      <c r="Q16" s="67"/>
      <c r="R16" s="67"/>
      <c r="S16" s="67"/>
      <c r="T16" s="67"/>
      <c r="U16" s="67"/>
      <c r="V16" s="67"/>
      <c r="W16" s="67"/>
      <c r="X16" s="247"/>
    </row>
    <row r="17" spans="1:24" ht="11.25" customHeight="1" x14ac:dyDescent="0.25">
      <c r="A17" s="1066" t="str">
        <f>A3A!A131</f>
        <v>Vote 13 - [NAME OF VOTE 13]</v>
      </c>
      <c r="B17" s="1045"/>
      <c r="C17" s="70">
        <f>A3A!C131</f>
        <v>0</v>
      </c>
      <c r="D17" s="70">
        <f>A3A!D131</f>
        <v>0</v>
      </c>
      <c r="E17" s="69">
        <f>A3A!E131</f>
        <v>0</v>
      </c>
      <c r="F17" s="72">
        <f>A3A!F131</f>
        <v>0</v>
      </c>
      <c r="G17" s="70">
        <f>A3A!G131</f>
        <v>0</v>
      </c>
      <c r="H17" s="71">
        <f>A3A!H131</f>
        <v>0</v>
      </c>
      <c r="I17" s="1130">
        <f>A3A!I131</f>
        <v>0</v>
      </c>
      <c r="J17" s="69">
        <f>A3A!J131</f>
        <v>0</v>
      </c>
      <c r="K17" s="1131">
        <f>A3A!K131</f>
        <v>0</v>
      </c>
      <c r="L17" s="71">
        <f>A5A!L137</f>
        <v>0</v>
      </c>
      <c r="M17" s="67"/>
      <c r="N17" s="67"/>
      <c r="O17" s="67"/>
      <c r="P17" s="67"/>
      <c r="Q17" s="67"/>
      <c r="R17" s="67"/>
      <c r="S17" s="67"/>
      <c r="T17" s="67"/>
      <c r="U17" s="67"/>
      <c r="V17" s="67"/>
      <c r="W17" s="67"/>
      <c r="X17" s="247"/>
    </row>
    <row r="18" spans="1:24" ht="11.25" customHeight="1" x14ac:dyDescent="0.25">
      <c r="A18" s="1066" t="str">
        <f>A3A!A142</f>
        <v>Vote 14 - [NAME OF VOTE 14]</v>
      </c>
      <c r="B18" s="1045"/>
      <c r="C18" s="70">
        <f>A3A!C142</f>
        <v>0</v>
      </c>
      <c r="D18" s="70">
        <f>A3A!D142</f>
        <v>0</v>
      </c>
      <c r="E18" s="69">
        <f>A3A!E142</f>
        <v>0</v>
      </c>
      <c r="F18" s="72">
        <f>A3A!F142</f>
        <v>0</v>
      </c>
      <c r="G18" s="70">
        <f>A3A!G142</f>
        <v>0</v>
      </c>
      <c r="H18" s="71">
        <f>A3A!H142</f>
        <v>0</v>
      </c>
      <c r="I18" s="1130">
        <f>A3A!I142</f>
        <v>0</v>
      </c>
      <c r="J18" s="69">
        <f>A3A!J142</f>
        <v>0</v>
      </c>
      <c r="K18" s="1131">
        <f>A3A!K142</f>
        <v>0</v>
      </c>
      <c r="L18" s="71">
        <f>A5A!L148</f>
        <v>0</v>
      </c>
      <c r="M18" s="67"/>
      <c r="N18" s="67"/>
      <c r="O18" s="67"/>
      <c r="P18" s="67"/>
      <c r="Q18" s="67"/>
      <c r="R18" s="67"/>
      <c r="S18" s="67"/>
      <c r="T18" s="67"/>
      <c r="U18" s="67"/>
      <c r="V18" s="67"/>
      <c r="W18" s="67"/>
      <c r="X18" s="247"/>
    </row>
    <row r="19" spans="1:24" ht="11.25" customHeight="1" x14ac:dyDescent="0.25">
      <c r="A19" s="1066" t="str">
        <f>A3A!A153</f>
        <v>Vote 15 - [NAME OF VOTE 15]</v>
      </c>
      <c r="B19" s="1045"/>
      <c r="C19" s="70">
        <f>A3A!C153</f>
        <v>0</v>
      </c>
      <c r="D19" s="70">
        <f>A3A!D153</f>
        <v>0</v>
      </c>
      <c r="E19" s="69">
        <f>A3A!E153</f>
        <v>0</v>
      </c>
      <c r="F19" s="72">
        <f>A3A!F153</f>
        <v>0</v>
      </c>
      <c r="G19" s="70">
        <f>A3A!G153</f>
        <v>0</v>
      </c>
      <c r="H19" s="71">
        <f>A3A!H153</f>
        <v>0</v>
      </c>
      <c r="I19" s="1614">
        <f>A3A!I153</f>
        <v>0</v>
      </c>
      <c r="J19" s="69">
        <f>A3A!J153</f>
        <v>0</v>
      </c>
      <c r="K19" s="1131">
        <f>A3A!K153</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178889176.97020003</v>
      </c>
      <c r="D20" s="1221">
        <f t="shared" ref="D20:K20" si="0">SUM(D5:D19)</f>
        <v>180545508</v>
      </c>
      <c r="E20" s="1222">
        <f t="shared" si="0"/>
        <v>218730213</v>
      </c>
      <c r="F20" s="1223">
        <f t="shared" si="0"/>
        <v>257174350.69</v>
      </c>
      <c r="G20" s="1221">
        <f t="shared" si="0"/>
        <v>259141861.59999996</v>
      </c>
      <c r="H20" s="1224">
        <f t="shared" si="0"/>
        <v>259141861.59999996</v>
      </c>
      <c r="I20" s="1225">
        <f t="shared" si="0"/>
        <v>261768865.41999996</v>
      </c>
      <c r="J20" s="1221">
        <f t="shared" si="0"/>
        <v>279101537.33999997</v>
      </c>
      <c r="K20" s="1616">
        <f t="shared" si="0"/>
        <v>296482729.58000004</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7"/>
      <c r="L21" s="73"/>
      <c r="M21" s="74"/>
      <c r="N21" s="74"/>
      <c r="O21" s="74"/>
      <c r="P21" s="74"/>
      <c r="Q21" s="74"/>
      <c r="R21" s="74"/>
      <c r="S21" s="74"/>
      <c r="T21" s="74"/>
      <c r="U21" s="74"/>
      <c r="V21" s="74"/>
      <c r="W21" s="74"/>
      <c r="X21" s="247"/>
    </row>
    <row r="22" spans="1:24" ht="11.25" customHeight="1" x14ac:dyDescent="0.25">
      <c r="A22" s="1060" t="s">
        <v>903</v>
      </c>
      <c r="B22" s="1045">
        <v>1</v>
      </c>
      <c r="C22" s="1079"/>
      <c r="D22" s="1079"/>
      <c r="E22" s="1080"/>
      <c r="F22" s="1081"/>
      <c r="G22" s="1079"/>
      <c r="H22" s="1082"/>
      <c r="I22" s="1083"/>
      <c r="J22" s="1079"/>
      <c r="K22" s="1617"/>
      <c r="L22" s="73"/>
      <c r="M22" s="74"/>
      <c r="N22" s="74"/>
      <c r="O22" s="74"/>
      <c r="P22" s="74"/>
      <c r="Q22" s="74"/>
      <c r="R22" s="74"/>
      <c r="S22" s="74"/>
      <c r="T22" s="74"/>
      <c r="U22" s="74"/>
      <c r="V22" s="74"/>
      <c r="W22" s="74"/>
      <c r="X22" s="247"/>
    </row>
    <row r="23" spans="1:24" ht="11.25" customHeight="1" x14ac:dyDescent="0.25">
      <c r="A23" s="1066" t="str">
        <f>A3A!A167</f>
        <v>Vote 1 - EXECUTIVE AND COUNCIL</v>
      </c>
      <c r="B23" s="1045"/>
      <c r="C23" s="1067">
        <f>A3A!C167</f>
        <v>16601000</v>
      </c>
      <c r="D23" s="1067">
        <f>A3A!D167</f>
        <v>17597060</v>
      </c>
      <c r="E23" s="1068">
        <f>A3A!E167</f>
        <v>18697593</v>
      </c>
      <c r="F23" s="1069">
        <f>A3A!F167</f>
        <v>27807177.469999999</v>
      </c>
      <c r="G23" s="1067">
        <f>A3A!G167</f>
        <v>25801725.289999999</v>
      </c>
      <c r="H23" s="1070">
        <f>A3A!H167</f>
        <v>25801725.289999999</v>
      </c>
      <c r="I23" s="1071">
        <f>A3A!I167</f>
        <v>29096959.100000001</v>
      </c>
      <c r="J23" s="1067">
        <f>A3A!J167</f>
        <v>28661296.645205427</v>
      </c>
      <c r="K23" s="1610">
        <f>A3A!K167</f>
        <v>30380974.443917748</v>
      </c>
      <c r="L23" s="73"/>
      <c r="M23" s="74"/>
      <c r="N23" s="74"/>
      <c r="O23" s="74"/>
      <c r="P23" s="74"/>
      <c r="Q23" s="74"/>
      <c r="R23" s="74"/>
      <c r="S23" s="74"/>
      <c r="T23" s="74"/>
      <c r="U23" s="74"/>
      <c r="V23" s="74"/>
      <c r="W23" s="74"/>
      <c r="X23" s="247"/>
    </row>
    <row r="24" spans="1:24" ht="11.25" customHeight="1" x14ac:dyDescent="0.25">
      <c r="A24" s="1066" t="str">
        <f>A3A!A178</f>
        <v>Vote 2 - MUNICIPAL MANAGER</v>
      </c>
      <c r="B24" s="1045"/>
      <c r="C24" s="1067">
        <f>A3A!C178</f>
        <v>8533000</v>
      </c>
      <c r="D24" s="1067">
        <f>A3A!D178</f>
        <v>9044980</v>
      </c>
      <c r="E24" s="1068">
        <f>A3A!E178</f>
        <v>9587678.8000000007</v>
      </c>
      <c r="F24" s="1069">
        <f>A3A!F178</f>
        <v>8135875.9699999997</v>
      </c>
      <c r="G24" s="1067">
        <f>A3A!G178</f>
        <v>8197227.21</v>
      </c>
      <c r="H24" s="1070">
        <f>A3A!H178</f>
        <v>8197227.21</v>
      </c>
      <c r="I24" s="1071">
        <f>A3A!I178</f>
        <v>4414067.4800000004</v>
      </c>
      <c r="J24" s="1067">
        <f>A3A!J178</f>
        <v>4678911.5303726271</v>
      </c>
      <c r="K24" s="1610">
        <f>A3A!K178</f>
        <v>4959646.2221949855</v>
      </c>
      <c r="L24" s="86"/>
      <c r="M24" s="87"/>
      <c r="N24" s="87"/>
      <c r="O24" s="87"/>
      <c r="P24" s="87"/>
      <c r="Q24" s="87"/>
      <c r="R24" s="87"/>
      <c r="S24" s="87"/>
      <c r="T24" s="87"/>
      <c r="U24" s="87"/>
      <c r="V24" s="87"/>
      <c r="W24" s="87"/>
      <c r="X24" s="247"/>
    </row>
    <row r="25" spans="1:24" ht="11.25" customHeight="1" x14ac:dyDescent="0.25">
      <c r="A25" s="1066" t="str">
        <f>A3A!A189</f>
        <v>Vote 3 - FINANCE</v>
      </c>
      <c r="B25" s="1045"/>
      <c r="C25" s="1067">
        <f>A3A!C189</f>
        <v>41971770.843000002</v>
      </c>
      <c r="D25" s="1067">
        <f>A3A!D189</f>
        <v>47264831.979999997</v>
      </c>
      <c r="E25" s="1068">
        <f>A3A!E189</f>
        <v>56788387.398800001</v>
      </c>
      <c r="F25" s="1069">
        <f>A3A!F189</f>
        <v>82279798.849999994</v>
      </c>
      <c r="G25" s="1067">
        <f>A3A!G189</f>
        <v>82558732.519999996</v>
      </c>
      <c r="H25" s="1070">
        <f>A3A!H189</f>
        <v>82558732.519999996</v>
      </c>
      <c r="I25" s="1071">
        <f>A3A!I189</f>
        <v>87598437.310000002</v>
      </c>
      <c r="J25" s="1067">
        <f>A3A!J189</f>
        <v>93080743.546974674</v>
      </c>
      <c r="K25" s="1610">
        <f>A3A!K189</f>
        <v>98791888.159793183</v>
      </c>
      <c r="L25" s="86"/>
      <c r="M25" s="87"/>
      <c r="N25" s="87"/>
      <c r="O25" s="87"/>
      <c r="P25" s="87"/>
      <c r="Q25" s="87"/>
      <c r="R25" s="87"/>
      <c r="S25" s="87"/>
      <c r="T25" s="87"/>
      <c r="U25" s="87"/>
      <c r="V25" s="87"/>
      <c r="W25" s="87"/>
      <c r="X25" s="247"/>
    </row>
    <row r="26" spans="1:24" ht="11.25" customHeight="1" x14ac:dyDescent="0.25">
      <c r="A26" s="1066" t="str">
        <f>A3A!A200</f>
        <v>Vote 4 - CORPORATE SERVICES MANAGEMENT</v>
      </c>
      <c r="B26" s="1045"/>
      <c r="C26" s="1067">
        <f>A3A!C200</f>
        <v>15175000</v>
      </c>
      <c r="D26" s="1067">
        <f>A3A!D200</f>
        <v>18385500</v>
      </c>
      <c r="E26" s="1068">
        <f>A3A!E200</f>
        <v>20923074.609999999</v>
      </c>
      <c r="F26" s="1069">
        <f>A3A!F200</f>
        <v>23294087.07</v>
      </c>
      <c r="G26" s="1067">
        <f>A3A!G200</f>
        <v>23285745.130000003</v>
      </c>
      <c r="H26" s="1070">
        <f>A3A!H200</f>
        <v>23285745.130000003</v>
      </c>
      <c r="I26" s="1071">
        <f>A3A!I200</f>
        <v>25835975.43</v>
      </c>
      <c r="J26" s="1067">
        <f>A3A!J200</f>
        <v>27386133.953722905</v>
      </c>
      <c r="K26" s="1610">
        <f>A3A!K200</f>
        <v>29029301.990946282</v>
      </c>
      <c r="L26" s="86"/>
      <c r="M26" s="87"/>
      <c r="N26" s="87"/>
      <c r="O26" s="87"/>
      <c r="P26" s="87"/>
      <c r="Q26" s="87"/>
      <c r="R26" s="87"/>
      <c r="S26" s="87"/>
      <c r="T26" s="87"/>
      <c r="U26" s="87"/>
      <c r="V26" s="87"/>
      <c r="W26" s="87"/>
      <c r="X26" s="247"/>
    </row>
    <row r="27" spans="1:24" ht="11.25" customHeight="1" x14ac:dyDescent="0.25">
      <c r="A27" s="1066" t="str">
        <f>A3A!A211</f>
        <v>Vote 5 - COMMUNITY SERVICES MANAGEMENT</v>
      </c>
      <c r="B27" s="1045"/>
      <c r="C27" s="1067">
        <f>A3A!C211</f>
        <v>23827630.189737998</v>
      </c>
      <c r="D27" s="1067">
        <f>A3A!D211</f>
        <v>25767288.001131002</v>
      </c>
      <c r="E27" s="1068">
        <f>A3A!E211</f>
        <v>27686839.613200001</v>
      </c>
      <c r="F27" s="1069">
        <f>A3A!F211</f>
        <v>42780366.279999994</v>
      </c>
      <c r="G27" s="1067">
        <f>A3A!G211</f>
        <v>39912689.93</v>
      </c>
      <c r="H27" s="1070">
        <f>A3A!H211</f>
        <v>39912689.93</v>
      </c>
      <c r="I27" s="1071">
        <f>A3A!I211</f>
        <v>46375770.880000003</v>
      </c>
      <c r="J27" s="1067">
        <f>A3A!J211</f>
        <v>49158317.131525628</v>
      </c>
      <c r="K27" s="1610">
        <f>A3A!K211</f>
        <v>52107816.159417167</v>
      </c>
      <c r="L27" s="86"/>
      <c r="M27" s="87"/>
      <c r="N27" s="87"/>
      <c r="O27" s="87"/>
      <c r="P27" s="87"/>
      <c r="Q27" s="87"/>
      <c r="R27" s="87"/>
      <c r="S27" s="87"/>
      <c r="T27" s="87"/>
      <c r="U27" s="87"/>
      <c r="V27" s="87"/>
      <c r="W27" s="87"/>
      <c r="X27" s="247"/>
    </row>
    <row r="28" spans="1:24" ht="11.25" customHeight="1" x14ac:dyDescent="0.25">
      <c r="A28" s="1066" t="str">
        <f>A3A!A222</f>
        <v>Vote 6 - TECHNICAL SERVICES</v>
      </c>
      <c r="B28" s="1045"/>
      <c r="C28" s="1067">
        <f>A3A!C222</f>
        <v>47297108.898000002</v>
      </c>
      <c r="D28" s="1067">
        <f>A3A!D222</f>
        <v>50204935.430000007</v>
      </c>
      <c r="E28" s="1068">
        <f>A3A!E222</f>
        <v>45190136.579999998</v>
      </c>
      <c r="F28" s="1069">
        <f>A3A!F222</f>
        <v>115848075.8</v>
      </c>
      <c r="G28" s="1067">
        <f>A3A!G222</f>
        <v>113653123.56999999</v>
      </c>
      <c r="H28" s="1070">
        <f>A3A!H222</f>
        <v>113653123.56999999</v>
      </c>
      <c r="I28" s="1071">
        <f>A3A!I222</f>
        <v>109861683.47</v>
      </c>
      <c r="J28" s="1067">
        <f>A3A!J222</f>
        <v>116800364.47265112</v>
      </c>
      <c r="K28" s="1610">
        <f>A3A!K222</f>
        <v>124565646.34101018</v>
      </c>
      <c r="L28" s="86"/>
      <c r="M28" s="87"/>
      <c r="N28" s="87"/>
      <c r="O28" s="87"/>
      <c r="P28" s="87"/>
      <c r="Q28" s="87"/>
      <c r="R28" s="87"/>
      <c r="S28" s="87"/>
      <c r="T28" s="87"/>
      <c r="U28" s="87"/>
      <c r="V28" s="87"/>
      <c r="W28" s="87"/>
      <c r="X28" s="247"/>
    </row>
    <row r="29" spans="1:24" ht="11.25" customHeight="1" x14ac:dyDescent="0.25">
      <c r="A29" s="1066">
        <f>A3A!A233</f>
        <v>0</v>
      </c>
      <c r="B29" s="1045"/>
      <c r="C29" s="1067">
        <f>A3A!C233</f>
        <v>0</v>
      </c>
      <c r="D29" s="1067">
        <f>A3A!D233</f>
        <v>0</v>
      </c>
      <c r="E29" s="1068">
        <f>A3A!E233</f>
        <v>0</v>
      </c>
      <c r="F29" s="1069">
        <f>A3A!F233</f>
        <v>5271611.04</v>
      </c>
      <c r="G29" s="1067">
        <f>A3A!G233</f>
        <v>5426122.3399999999</v>
      </c>
      <c r="H29" s="1070">
        <f>A3A!H233</f>
        <v>5426122.3399999999</v>
      </c>
      <c r="I29" s="1071">
        <f>A3A!I233</f>
        <v>10843971.75393418</v>
      </c>
      <c r="J29" s="1067">
        <f>A3A!J233</f>
        <v>11487610.055847004</v>
      </c>
      <c r="K29" s="1610">
        <f>A3A!K233</f>
        <v>12176866.659197824</v>
      </c>
      <c r="L29" s="86"/>
      <c r="M29" s="87"/>
      <c r="N29" s="87"/>
      <c r="O29" s="87"/>
      <c r="P29" s="87"/>
      <c r="Q29" s="87"/>
      <c r="R29" s="87"/>
      <c r="S29" s="87"/>
      <c r="T29" s="87"/>
      <c r="U29" s="87"/>
      <c r="V29" s="87"/>
      <c r="W29" s="87"/>
      <c r="X29" s="247"/>
    </row>
    <row r="30" spans="1:24" ht="11.25" customHeight="1" x14ac:dyDescent="0.25">
      <c r="A30" s="1066" t="str">
        <f>A3A!A244</f>
        <v>Vote 8 - [NAME OF VOTE 8]</v>
      </c>
      <c r="B30" s="1045"/>
      <c r="C30" s="1067">
        <f>A3A!C244</f>
        <v>0</v>
      </c>
      <c r="D30" s="1067">
        <f>A3A!D244</f>
        <v>0</v>
      </c>
      <c r="E30" s="1068">
        <f>A3A!E244</f>
        <v>0</v>
      </c>
      <c r="F30" s="1069">
        <f>A3A!F244</f>
        <v>0</v>
      </c>
      <c r="G30" s="1067">
        <f>A3A!G244</f>
        <v>0</v>
      </c>
      <c r="H30" s="1070">
        <f>A3A!H244</f>
        <v>0</v>
      </c>
      <c r="I30" s="1071">
        <f>A3A!I244</f>
        <v>0</v>
      </c>
      <c r="J30" s="1067">
        <f>A3A!J244</f>
        <v>0</v>
      </c>
      <c r="K30" s="1610">
        <f>A3A!K244</f>
        <v>0</v>
      </c>
      <c r="L30" s="86"/>
      <c r="M30" s="87"/>
      <c r="N30" s="87"/>
      <c r="O30" s="87"/>
      <c r="P30" s="87"/>
      <c r="Q30" s="87"/>
      <c r="R30" s="87"/>
      <c r="S30" s="87"/>
      <c r="T30" s="87"/>
      <c r="U30" s="87"/>
      <c r="V30" s="87"/>
      <c r="W30" s="87"/>
      <c r="X30" s="247"/>
    </row>
    <row r="31" spans="1:24" ht="11.25" customHeight="1" x14ac:dyDescent="0.25">
      <c r="A31" s="1066" t="str">
        <f>A3A!A255</f>
        <v>Vote 9 - [NAME OF VOTE 9]</v>
      </c>
      <c r="B31" s="1045"/>
      <c r="C31" s="1067">
        <f>A3A!C255</f>
        <v>0</v>
      </c>
      <c r="D31" s="1067">
        <f>A3A!D255</f>
        <v>0</v>
      </c>
      <c r="E31" s="1068">
        <f>A3A!E255</f>
        <v>0</v>
      </c>
      <c r="F31" s="1069">
        <f>A3A!F255</f>
        <v>0</v>
      </c>
      <c r="G31" s="1067">
        <f>A3A!G255</f>
        <v>0</v>
      </c>
      <c r="H31" s="1070">
        <f>A3A!H255</f>
        <v>0</v>
      </c>
      <c r="I31" s="1071">
        <f>A3A!I255</f>
        <v>0</v>
      </c>
      <c r="J31" s="1067">
        <f>A3A!J255</f>
        <v>0</v>
      </c>
      <c r="K31" s="1610">
        <f>A3A!K255</f>
        <v>0</v>
      </c>
      <c r="L31" s="86"/>
      <c r="M31" s="87"/>
      <c r="N31" s="87"/>
      <c r="O31" s="87"/>
      <c r="P31" s="87"/>
      <c r="Q31" s="87"/>
      <c r="R31" s="87"/>
      <c r="S31" s="87"/>
      <c r="T31" s="87"/>
      <c r="U31" s="87"/>
      <c r="V31" s="87"/>
      <c r="W31" s="87"/>
      <c r="X31" s="247"/>
    </row>
    <row r="32" spans="1:24" ht="11.25" customHeight="1" x14ac:dyDescent="0.25">
      <c r="A32" s="1066" t="str">
        <f>A3A!A266</f>
        <v>Vote 10 - [NAME OF VOTE 10]</v>
      </c>
      <c r="B32" s="1045"/>
      <c r="C32" s="1067">
        <f>A3A!C266</f>
        <v>0</v>
      </c>
      <c r="D32" s="1067">
        <f>A3A!D266</f>
        <v>0</v>
      </c>
      <c r="E32" s="1068">
        <f>A3A!E266</f>
        <v>0</v>
      </c>
      <c r="F32" s="1069">
        <f>A3A!F266</f>
        <v>0</v>
      </c>
      <c r="G32" s="1067">
        <f>A3A!G266</f>
        <v>0</v>
      </c>
      <c r="H32" s="1070">
        <f>A3A!H266</f>
        <v>0</v>
      </c>
      <c r="I32" s="1071">
        <f>A3A!I266</f>
        <v>0</v>
      </c>
      <c r="J32" s="1067">
        <f>A3A!J266</f>
        <v>0</v>
      </c>
      <c r="K32" s="1610">
        <f>A3A!K266</f>
        <v>0</v>
      </c>
      <c r="L32" s="86"/>
      <c r="M32" s="87"/>
      <c r="N32" s="87"/>
      <c r="O32" s="87"/>
      <c r="P32" s="87"/>
      <c r="Q32" s="87"/>
      <c r="R32" s="87"/>
      <c r="S32" s="87"/>
      <c r="T32" s="87"/>
      <c r="U32" s="87"/>
      <c r="V32" s="87"/>
      <c r="W32" s="87"/>
      <c r="X32" s="247"/>
    </row>
    <row r="33" spans="1:24" ht="11.25" customHeight="1" x14ac:dyDescent="0.25">
      <c r="A33" s="1066" t="str">
        <f>A3A!A277</f>
        <v>Vote 11 - [NAME OF VOTE 11]</v>
      </c>
      <c r="B33" s="1045"/>
      <c r="C33" s="202">
        <f>A3A!C277</f>
        <v>0</v>
      </c>
      <c r="D33" s="202">
        <f>A3A!D277</f>
        <v>0</v>
      </c>
      <c r="E33" s="71">
        <f>A3A!E277</f>
        <v>0</v>
      </c>
      <c r="F33" s="72">
        <f>A3A!F277</f>
        <v>0</v>
      </c>
      <c r="G33" s="70">
        <f>A3A!G277</f>
        <v>0</v>
      </c>
      <c r="H33" s="71">
        <f>A3A!H277</f>
        <v>0</v>
      </c>
      <c r="I33" s="1130">
        <f>A3A!I277</f>
        <v>0</v>
      </c>
      <c r="J33" s="70">
        <f>A3A!J277</f>
        <v>0</v>
      </c>
      <c r="K33" s="1131">
        <f>A3A!K277</f>
        <v>0</v>
      </c>
      <c r="L33" s="71">
        <f>A3A!L278</f>
        <v>0</v>
      </c>
      <c r="M33" s="87"/>
      <c r="N33" s="87"/>
      <c r="O33" s="87"/>
      <c r="P33" s="87"/>
      <c r="Q33" s="87"/>
      <c r="R33" s="87"/>
      <c r="S33" s="87"/>
      <c r="T33" s="87"/>
      <c r="U33" s="87"/>
      <c r="V33" s="87"/>
      <c r="W33" s="87"/>
      <c r="X33" s="247"/>
    </row>
    <row r="34" spans="1:24" ht="11.25" customHeight="1" x14ac:dyDescent="0.25">
      <c r="A34" s="1066" t="str">
        <f>A3A!A288</f>
        <v>Vote 12 - [NAME OF VOTE 12]</v>
      </c>
      <c r="B34" s="1045"/>
      <c r="C34" s="202">
        <f>A3A!C288</f>
        <v>0</v>
      </c>
      <c r="D34" s="202">
        <f>A3A!D288</f>
        <v>0</v>
      </c>
      <c r="E34" s="71">
        <f>A3A!E288</f>
        <v>0</v>
      </c>
      <c r="F34" s="72">
        <f>A3A!F288</f>
        <v>0</v>
      </c>
      <c r="G34" s="70">
        <f>A3A!G288</f>
        <v>0</v>
      </c>
      <c r="H34" s="71">
        <f>A3A!H288</f>
        <v>0</v>
      </c>
      <c r="I34" s="1130">
        <f>A3A!I288</f>
        <v>0</v>
      </c>
      <c r="J34" s="70">
        <f>A3A!J288</f>
        <v>0</v>
      </c>
      <c r="K34" s="1131">
        <f>A3A!K288</f>
        <v>0</v>
      </c>
      <c r="L34" s="71">
        <f>A3A!L289</f>
        <v>0</v>
      </c>
      <c r="M34" s="87"/>
      <c r="N34" s="87"/>
      <c r="O34" s="87"/>
      <c r="P34" s="87"/>
      <c r="Q34" s="87"/>
      <c r="R34" s="87"/>
      <c r="S34" s="87"/>
      <c r="T34" s="87"/>
      <c r="U34" s="87"/>
      <c r="V34" s="87"/>
      <c r="W34" s="87"/>
      <c r="X34" s="247"/>
    </row>
    <row r="35" spans="1:24" ht="11.25" customHeight="1" x14ac:dyDescent="0.25">
      <c r="A35" s="1066" t="str">
        <f>A3A!A299</f>
        <v>Vote 13 - [NAME OF VOTE 13]</v>
      </c>
      <c r="B35" s="1045"/>
      <c r="C35" s="1365">
        <f>A3A!C299</f>
        <v>0</v>
      </c>
      <c r="D35" s="1365">
        <f>A3A!D299</f>
        <v>0</v>
      </c>
      <c r="E35" s="1366">
        <f>A3A!E299</f>
        <v>0</v>
      </c>
      <c r="F35" s="1367">
        <f>A3A!F299</f>
        <v>0</v>
      </c>
      <c r="G35" s="1325">
        <f>A3A!G299</f>
        <v>0</v>
      </c>
      <c r="H35" s="1366">
        <f>A3A!H299</f>
        <v>0</v>
      </c>
      <c r="I35" s="1611">
        <f>A3A!I299</f>
        <v>0</v>
      </c>
      <c r="J35" s="1325">
        <f>A3A!J299</f>
        <v>0</v>
      </c>
      <c r="K35" s="1618">
        <f>A3A!K299</f>
        <v>0</v>
      </c>
      <c r="L35" s="1366">
        <f>A3A!L300</f>
        <v>0</v>
      </c>
      <c r="M35" s="87"/>
      <c r="N35" s="87"/>
      <c r="O35" s="87"/>
      <c r="P35" s="87"/>
      <c r="Q35" s="87"/>
      <c r="R35" s="87"/>
      <c r="S35" s="87"/>
      <c r="T35" s="87"/>
      <c r="U35" s="87"/>
      <c r="V35" s="87"/>
      <c r="W35" s="87"/>
      <c r="X35" s="247"/>
    </row>
    <row r="36" spans="1:24" ht="11.25" customHeight="1" x14ac:dyDescent="0.25">
      <c r="A36" s="1066" t="str">
        <f>A3A!A310</f>
        <v>Vote 14 - [NAME OF VOTE 14]</v>
      </c>
      <c r="B36" s="1045"/>
      <c r="C36" s="1365">
        <f>A3A!C310</f>
        <v>0</v>
      </c>
      <c r="D36" s="1365">
        <f>A3A!D310</f>
        <v>0</v>
      </c>
      <c r="E36" s="1366">
        <f>A3A!E310</f>
        <v>0</v>
      </c>
      <c r="F36" s="1367">
        <f>A3A!F310</f>
        <v>0</v>
      </c>
      <c r="G36" s="1325">
        <f>A3A!G310</f>
        <v>0</v>
      </c>
      <c r="H36" s="1366">
        <f>A3A!H310</f>
        <v>0</v>
      </c>
      <c r="I36" s="1611">
        <f>A3A!I310</f>
        <v>0</v>
      </c>
      <c r="J36" s="1325">
        <f>A3A!J310</f>
        <v>0</v>
      </c>
      <c r="K36" s="1618">
        <f>A3A!K310</f>
        <v>0</v>
      </c>
      <c r="L36" s="1366">
        <f>A3A!L311</f>
        <v>0</v>
      </c>
      <c r="M36" s="87"/>
      <c r="N36" s="87"/>
      <c r="O36" s="87"/>
      <c r="P36" s="87"/>
      <c r="Q36" s="87"/>
      <c r="R36" s="87"/>
      <c r="S36" s="87"/>
      <c r="T36" s="87"/>
      <c r="U36" s="87"/>
      <c r="V36" s="87"/>
      <c r="W36" s="87"/>
      <c r="X36" s="247"/>
    </row>
    <row r="37" spans="1:24" ht="11.25" customHeight="1" x14ac:dyDescent="0.25">
      <c r="A37" s="1066" t="str">
        <f>A3A!A321</f>
        <v>Vote 15 - [NAME OF VOTE 15]</v>
      </c>
      <c r="B37" s="1045"/>
      <c r="C37" s="1365">
        <f>A3A!C321</f>
        <v>0</v>
      </c>
      <c r="D37" s="1365">
        <f>A3A!D321</f>
        <v>0</v>
      </c>
      <c r="E37" s="1366">
        <f>A3A!E321</f>
        <v>0</v>
      </c>
      <c r="F37" s="1367">
        <f>A3A!F321</f>
        <v>0</v>
      </c>
      <c r="G37" s="1325">
        <f>A3A!G321</f>
        <v>0</v>
      </c>
      <c r="H37" s="1366">
        <f>A3A!H321</f>
        <v>0</v>
      </c>
      <c r="I37" s="1611">
        <f>A3A!I321</f>
        <v>0</v>
      </c>
      <c r="J37" s="1325">
        <f>A3A!J321</f>
        <v>0</v>
      </c>
      <c r="K37" s="1618">
        <f>A3A!K321</f>
        <v>0</v>
      </c>
      <c r="L37" s="1366">
        <f>A3A!L322</f>
        <v>0</v>
      </c>
      <c r="M37" s="87"/>
      <c r="N37" s="87"/>
      <c r="O37" s="87"/>
      <c r="P37" s="87"/>
      <c r="Q37" s="87"/>
      <c r="R37" s="87"/>
      <c r="S37" s="87"/>
      <c r="T37" s="87"/>
      <c r="U37" s="87"/>
      <c r="V37" s="87"/>
      <c r="W37" s="87"/>
      <c r="X37" s="247"/>
    </row>
    <row r="38" spans="1:24" ht="11.25" customHeight="1" x14ac:dyDescent="0.25">
      <c r="A38" s="1220" t="s">
        <v>178</v>
      </c>
      <c r="B38" s="1219">
        <v>2</v>
      </c>
      <c r="C38" s="1226">
        <f>SUM(C23:C37)</f>
        <v>153405509.930738</v>
      </c>
      <c r="D38" s="1226">
        <f t="shared" ref="D38:K38" si="1">SUM(D23:D37)</f>
        <v>168264595.41113099</v>
      </c>
      <c r="E38" s="1227">
        <f t="shared" si="1"/>
        <v>178873710.00199997</v>
      </c>
      <c r="F38" s="1228">
        <f t="shared" si="1"/>
        <v>305416992.48000002</v>
      </c>
      <c r="G38" s="1226">
        <f t="shared" si="1"/>
        <v>298835365.98999995</v>
      </c>
      <c r="H38" s="1229">
        <f t="shared" si="1"/>
        <v>298835365.98999995</v>
      </c>
      <c r="I38" s="1230">
        <f t="shared" si="1"/>
        <v>314026865.42393416</v>
      </c>
      <c r="J38" s="1226">
        <f t="shared" si="1"/>
        <v>331253377.33629936</v>
      </c>
      <c r="K38" s="1612">
        <f t="shared" si="1"/>
        <v>352012139.97647738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25483667.03946203</v>
      </c>
      <c r="D39" s="1011">
        <f t="shared" si="3"/>
        <v>12280912.588869005</v>
      </c>
      <c r="E39" s="1085">
        <f t="shared" si="3"/>
        <v>39856502.998000026</v>
      </c>
      <c r="F39" s="1086">
        <f t="shared" si="3"/>
        <v>-48242641.790000021</v>
      </c>
      <c r="G39" s="1087">
        <f t="shared" si="3"/>
        <v>-39693504.389999986</v>
      </c>
      <c r="H39" s="1088">
        <f t="shared" si="3"/>
        <v>-39693504.389999986</v>
      </c>
      <c r="I39" s="1089">
        <f t="shared" si="3"/>
        <v>-52258000.003934205</v>
      </c>
      <c r="J39" s="1087">
        <f t="shared" si="3"/>
        <v>-52151839.996299386</v>
      </c>
      <c r="K39" s="1619">
        <f t="shared" si="3"/>
        <v>-55529410.396477342</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C39-A3A!C334</f>
        <v>0</v>
      </c>
      <c r="D45" s="1098">
        <f>D39-A3A!D334</f>
        <v>0</v>
      </c>
      <c r="E45" s="1098">
        <f>E39-A3A!E334</f>
        <v>0</v>
      </c>
      <c r="F45" s="1098">
        <f>F39-A3A!F334</f>
        <v>0</v>
      </c>
      <c r="G45" s="1098">
        <f>G39-A3A!G334</f>
        <v>0</v>
      </c>
      <c r="H45" s="1098">
        <f>H39-A3A!H334</f>
        <v>0</v>
      </c>
      <c r="I45" s="1098">
        <f>I39-A3A!I334</f>
        <v>0</v>
      </c>
      <c r="J45" s="1098">
        <f>J39-A3A!J334</f>
        <v>0</v>
      </c>
      <c r="K45" s="1098">
        <f>K39-A3A!K334</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3"/>
  <sheetViews>
    <sheetView showGridLines="0" showZeros="0" zoomScaleNormal="100" workbookViewId="0">
      <pane xSplit="2" ySplit="3" topLeftCell="C316" activePane="bottomRight" state="frozen"/>
      <selection pane="topRight"/>
      <selection pane="bottomLeft"/>
      <selection pane="bottomRight" activeCell="C223" sqref="C223"/>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LIM471 Ephraim Mogale - Table A3 Budgeted Financial Performance (revenue and expenditure by municipal vote)A</v>
      </c>
      <c r="B1" s="981"/>
      <c r="C1" s="981"/>
      <c r="D1" s="981"/>
      <c r="E1" s="981"/>
      <c r="F1" s="981"/>
      <c r="G1" s="981"/>
      <c r="H1" s="981"/>
      <c r="I1" s="981"/>
      <c r="J1" s="981"/>
      <c r="K1" s="981"/>
    </row>
    <row r="2" spans="1:23" ht="28.5" customHeight="1" x14ac:dyDescent="0.25">
      <c r="A2" s="2612" t="str">
        <f>Vdesc</f>
        <v>Vote Description</v>
      </c>
      <c r="B2" s="1057" t="str">
        <f>head27</f>
        <v>Ref</v>
      </c>
      <c r="C2" s="983" t="str">
        <f>head1b</f>
        <v>2012/13</v>
      </c>
      <c r="D2" s="983" t="str">
        <f>head1A</f>
        <v>2013/14</v>
      </c>
      <c r="E2" s="2611" t="str">
        <f>Head1</f>
        <v>2014/15</v>
      </c>
      <c r="F2" s="2659" t="str">
        <f>Head2</f>
        <v>Current Year 2015/16</v>
      </c>
      <c r="G2" s="2660"/>
      <c r="H2" s="2660"/>
      <c r="I2" s="2661" t="str">
        <f>Head3</f>
        <v>2016/17 Medium Term Revenue &amp; Expenditure Framework</v>
      </c>
      <c r="J2" s="2662"/>
      <c r="K2" s="2663"/>
      <c r="L2" s="2664" t="str">
        <f>Head4</f>
        <v>LTFS</v>
      </c>
      <c r="M2" s="2667"/>
      <c r="N2" s="2667"/>
      <c r="O2" s="2667"/>
      <c r="P2" s="2667"/>
      <c r="Q2" s="2667"/>
      <c r="R2" s="2667"/>
      <c r="S2" s="2667"/>
      <c r="T2" s="2667"/>
      <c r="U2" s="2667"/>
      <c r="V2" s="2667"/>
      <c r="W2" s="2668"/>
    </row>
    <row r="3" spans="1:23" ht="25.5" x14ac:dyDescent="0.25">
      <c r="A3" s="1058" t="s">
        <v>625</v>
      </c>
      <c r="B3" s="1059"/>
      <c r="C3" s="2613" t="str">
        <f>Head5</f>
        <v>Audited Outcome</v>
      </c>
      <c r="D3" s="2613" t="str">
        <f>Head5</f>
        <v>Audited Outcome</v>
      </c>
      <c r="E3" s="986" t="str">
        <f>Head5</f>
        <v>Audited Outcome</v>
      </c>
      <c r="F3" s="987" t="str">
        <f>Head6</f>
        <v>Original Budget</v>
      </c>
      <c r="G3" s="2613" t="str">
        <f>Head7</f>
        <v>Adjusted Budget</v>
      </c>
      <c r="H3" s="986" t="str">
        <f>Head8</f>
        <v>Full Year Forecast</v>
      </c>
      <c r="I3" s="987" t="str">
        <f>Head9</f>
        <v>Budget Year 2016/17</v>
      </c>
      <c r="J3" s="2613"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3" ht="11.25" customHeight="1" x14ac:dyDescent="0.25">
      <c r="A4" s="1060" t="s">
        <v>1314</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'[4]Org structure'!A2</f>
        <v>Vote 1 - EXECUTIVE AND COUNCIL</v>
      </c>
      <c r="B5" s="917"/>
      <c r="C5" s="849">
        <f>SUM(C6:C15)</f>
        <v>6802888.2999999998</v>
      </c>
      <c r="D5" s="849">
        <f t="shared" ref="D5:K5" si="0">SUM(D6:D15)</f>
        <v>1760665.95</v>
      </c>
      <c r="E5" s="850">
        <f t="shared" si="0"/>
        <v>7384202</v>
      </c>
      <c r="F5" s="851">
        <f t="shared" si="0"/>
        <v>8168134.71</v>
      </c>
      <c r="G5" s="849">
        <f t="shared" si="0"/>
        <v>7832325.3600000003</v>
      </c>
      <c r="H5" s="852">
        <f t="shared" si="0"/>
        <v>7832325.3600000003</v>
      </c>
      <c r="I5" s="853">
        <f t="shared" si="0"/>
        <v>8286104.8799999999</v>
      </c>
      <c r="J5" s="849">
        <f t="shared" si="0"/>
        <v>7382111.1699999999</v>
      </c>
      <c r="K5" s="850">
        <f t="shared" si="0"/>
        <v>7756537.8399999999</v>
      </c>
      <c r="L5" s="66"/>
      <c r="M5" s="67"/>
      <c r="N5" s="67"/>
      <c r="O5" s="67"/>
      <c r="P5" s="67"/>
      <c r="Q5" s="67"/>
      <c r="R5" s="67"/>
      <c r="S5" s="67"/>
      <c r="T5" s="67"/>
      <c r="U5" s="67"/>
      <c r="V5" s="67"/>
      <c r="W5" s="67"/>
    </row>
    <row r="6" spans="1:23" ht="11.25" customHeight="1" x14ac:dyDescent="0.25">
      <c r="A6" s="1028" t="str">
        <f>'[4]Org structure'!E3</f>
        <v>1.1 - COUNCIL GENERAL</v>
      </c>
      <c r="B6" s="905"/>
      <c r="C6" s="1454">
        <v>6802888.2999999998</v>
      </c>
      <c r="D6" s="1454">
        <v>1760665.95</v>
      </c>
      <c r="E6" s="2103">
        <v>7384202</v>
      </c>
      <c r="F6" s="2090">
        <v>8168134.71</v>
      </c>
      <c r="G6" s="2088">
        <v>7832325.3600000003</v>
      </c>
      <c r="H6" s="2091">
        <v>7832325.3600000003</v>
      </c>
      <c r="I6" s="2105">
        <v>8286104.8799999999</v>
      </c>
      <c r="J6" s="1454">
        <v>7382111.1699999999</v>
      </c>
      <c r="K6" s="2103">
        <v>7756537.8399999999</v>
      </c>
      <c r="L6" s="66"/>
      <c r="M6" s="67"/>
      <c r="N6" s="67"/>
      <c r="O6" s="67"/>
      <c r="P6" s="67"/>
      <c r="Q6" s="67"/>
      <c r="R6" s="67"/>
      <c r="S6" s="67"/>
      <c r="T6" s="67"/>
      <c r="U6" s="67"/>
      <c r="V6" s="67"/>
      <c r="W6" s="67"/>
    </row>
    <row r="7" spans="1:23" ht="11.25" customHeight="1" x14ac:dyDescent="0.25">
      <c r="A7" s="1028">
        <f>'[4]Org structure'!E4</f>
        <v>0</v>
      </c>
      <c r="B7" s="905"/>
      <c r="C7" s="1454"/>
      <c r="D7" s="1454"/>
      <c r="E7" s="2103"/>
      <c r="F7" s="2104"/>
      <c r="G7" s="1454"/>
      <c r="H7" s="1455"/>
      <c r="I7" s="2105"/>
      <c r="J7" s="1454"/>
      <c r="K7" s="2103"/>
      <c r="L7" s="66"/>
      <c r="M7" s="67"/>
      <c r="N7" s="67"/>
      <c r="O7" s="67"/>
      <c r="P7" s="67"/>
      <c r="Q7" s="67"/>
      <c r="R7" s="67"/>
      <c r="S7" s="67"/>
      <c r="T7" s="67"/>
      <c r="U7" s="67"/>
      <c r="V7" s="67"/>
      <c r="W7" s="67"/>
    </row>
    <row r="8" spans="1:23" ht="11.25" customHeight="1" x14ac:dyDescent="0.25">
      <c r="A8" s="1028">
        <f>'[4]Org structure'!E5</f>
        <v>0</v>
      </c>
      <c r="B8" s="905"/>
      <c r="C8" s="1454"/>
      <c r="D8" s="1454"/>
      <c r="E8" s="2103"/>
      <c r="F8" s="2104"/>
      <c r="G8" s="1454"/>
      <c r="H8" s="1455"/>
      <c r="I8" s="2105"/>
      <c r="J8" s="1454"/>
      <c r="K8" s="2103"/>
      <c r="L8" s="66"/>
      <c r="M8" s="67"/>
      <c r="N8" s="67"/>
      <c r="O8" s="67"/>
      <c r="P8" s="67"/>
      <c r="Q8" s="67"/>
      <c r="R8" s="67"/>
      <c r="S8" s="67"/>
      <c r="T8" s="67"/>
      <c r="U8" s="67"/>
      <c r="V8" s="67"/>
      <c r="W8" s="67"/>
    </row>
    <row r="9" spans="1:23" ht="11.25" customHeight="1" x14ac:dyDescent="0.25">
      <c r="A9" s="1028">
        <f>'[4]Org structure'!E6</f>
        <v>0</v>
      </c>
      <c r="B9" s="905"/>
      <c r="C9" s="1454"/>
      <c r="D9" s="1454"/>
      <c r="E9" s="2103"/>
      <c r="F9" s="2104"/>
      <c r="G9" s="1454"/>
      <c r="H9" s="1455"/>
      <c r="I9" s="2105"/>
      <c r="J9" s="1454"/>
      <c r="K9" s="2103"/>
      <c r="L9" s="66"/>
      <c r="M9" s="67"/>
      <c r="N9" s="67"/>
      <c r="O9" s="67"/>
      <c r="P9" s="67"/>
      <c r="Q9" s="67"/>
      <c r="R9" s="67"/>
      <c r="S9" s="67"/>
      <c r="T9" s="67"/>
      <c r="U9" s="67"/>
      <c r="V9" s="67"/>
      <c r="W9" s="67"/>
    </row>
    <row r="10" spans="1:23" ht="11.25" customHeight="1" x14ac:dyDescent="0.25">
      <c r="A10" s="1028">
        <f>'[4]Org structure'!E7</f>
        <v>0</v>
      </c>
      <c r="B10" s="905"/>
      <c r="C10" s="1454"/>
      <c r="D10" s="1454"/>
      <c r="E10" s="2103"/>
      <c r="F10" s="2104"/>
      <c r="G10" s="1454"/>
      <c r="H10" s="1455"/>
      <c r="I10" s="2105"/>
      <c r="J10" s="1454"/>
      <c r="K10" s="2103"/>
      <c r="L10" s="66"/>
      <c r="M10" s="67"/>
      <c r="N10" s="67"/>
      <c r="O10" s="67"/>
      <c r="P10" s="67"/>
      <c r="Q10" s="67"/>
      <c r="R10" s="67"/>
      <c r="S10" s="67"/>
      <c r="T10" s="67"/>
      <c r="U10" s="67"/>
      <c r="V10" s="67"/>
      <c r="W10" s="67"/>
    </row>
    <row r="11" spans="1:23" ht="11.25" customHeight="1" x14ac:dyDescent="0.25">
      <c r="A11" s="1028">
        <f>'[4]Org structure'!E8</f>
        <v>0</v>
      </c>
      <c r="B11" s="905"/>
      <c r="C11" s="1454"/>
      <c r="D11" s="1454"/>
      <c r="E11" s="2103"/>
      <c r="F11" s="2104"/>
      <c r="G11" s="1454"/>
      <c r="H11" s="1455"/>
      <c r="I11" s="2105"/>
      <c r="J11" s="1454"/>
      <c r="K11" s="2103"/>
      <c r="L11" s="66"/>
      <c r="M11" s="67"/>
      <c r="N11" s="67"/>
      <c r="O11" s="67"/>
      <c r="P11" s="67"/>
      <c r="Q11" s="67"/>
      <c r="R11" s="67"/>
      <c r="S11" s="67"/>
      <c r="T11" s="67"/>
      <c r="U11" s="67"/>
      <c r="V11" s="67"/>
      <c r="W11" s="67"/>
    </row>
    <row r="12" spans="1:23" ht="11.25" customHeight="1" x14ac:dyDescent="0.25">
      <c r="A12" s="1028">
        <f>'[4]Org structure'!E9</f>
        <v>0</v>
      </c>
      <c r="B12" s="905"/>
      <c r="C12" s="1454"/>
      <c r="D12" s="1454"/>
      <c r="E12" s="2103"/>
      <c r="F12" s="2104"/>
      <c r="G12" s="1454"/>
      <c r="H12" s="1455"/>
      <c r="I12" s="2105"/>
      <c r="J12" s="1454"/>
      <c r="K12" s="2103"/>
      <c r="L12" s="66"/>
      <c r="M12" s="67"/>
      <c r="N12" s="67"/>
      <c r="O12" s="67"/>
      <c r="P12" s="67"/>
      <c r="Q12" s="67"/>
      <c r="R12" s="67"/>
      <c r="S12" s="67"/>
      <c r="T12" s="67"/>
      <c r="U12" s="67"/>
      <c r="V12" s="67"/>
      <c r="W12" s="67"/>
    </row>
    <row r="13" spans="1:23" ht="11.25" customHeight="1" x14ac:dyDescent="0.25">
      <c r="A13" s="1028">
        <f>'[4]Org structure'!E10</f>
        <v>0</v>
      </c>
      <c r="B13" s="905"/>
      <c r="C13" s="1454"/>
      <c r="D13" s="1454"/>
      <c r="E13" s="2103"/>
      <c r="F13" s="2104"/>
      <c r="G13" s="1454"/>
      <c r="H13" s="1455"/>
      <c r="I13" s="2105"/>
      <c r="J13" s="1454"/>
      <c r="K13" s="2103"/>
      <c r="L13" s="66"/>
      <c r="M13" s="67"/>
      <c r="N13" s="67"/>
      <c r="O13" s="67"/>
      <c r="P13" s="67"/>
      <c r="Q13" s="67"/>
      <c r="R13" s="67"/>
      <c r="S13" s="67"/>
      <c r="T13" s="67"/>
      <c r="U13" s="67"/>
      <c r="V13" s="67"/>
      <c r="W13" s="67"/>
    </row>
    <row r="14" spans="1:23" ht="11.25" customHeight="1" x14ac:dyDescent="0.25">
      <c r="A14" s="1028">
        <f>'[4]Org structure'!E11</f>
        <v>0</v>
      </c>
      <c r="B14" s="905"/>
      <c r="C14" s="1454"/>
      <c r="D14" s="1454"/>
      <c r="E14" s="2103"/>
      <c r="F14" s="2104"/>
      <c r="G14" s="1454"/>
      <c r="H14" s="1455"/>
      <c r="I14" s="2105"/>
      <c r="J14" s="1454"/>
      <c r="K14" s="2103"/>
      <c r="L14" s="66"/>
      <c r="M14" s="67"/>
      <c r="N14" s="67"/>
      <c r="O14" s="67"/>
      <c r="P14" s="67"/>
      <c r="Q14" s="67"/>
      <c r="R14" s="67"/>
      <c r="S14" s="67"/>
      <c r="T14" s="67"/>
      <c r="U14" s="67"/>
      <c r="V14" s="67"/>
      <c r="W14" s="67"/>
    </row>
    <row r="15" spans="1:23" ht="11.25" customHeight="1" x14ac:dyDescent="0.25">
      <c r="A15" s="1028">
        <f>'[4]Org structure'!E12</f>
        <v>0</v>
      </c>
      <c r="B15" s="905"/>
      <c r="C15" s="1454"/>
      <c r="D15" s="1454"/>
      <c r="E15" s="2103"/>
      <c r="F15" s="2104"/>
      <c r="G15" s="1454"/>
      <c r="H15" s="1455"/>
      <c r="I15" s="2105"/>
      <c r="J15" s="1454"/>
      <c r="K15" s="2103"/>
      <c r="L15" s="66"/>
      <c r="M15" s="67"/>
      <c r="N15" s="67"/>
      <c r="O15" s="67"/>
      <c r="P15" s="67"/>
      <c r="Q15" s="67"/>
      <c r="R15" s="67"/>
      <c r="S15" s="67"/>
      <c r="T15" s="67"/>
      <c r="U15" s="67"/>
      <c r="V15" s="67"/>
      <c r="W15" s="67"/>
    </row>
    <row r="16" spans="1:23" ht="15" customHeight="1" x14ac:dyDescent="0.25">
      <c r="A16" s="1027" t="str">
        <f>'[4]Org structure'!A3</f>
        <v>Vote 2 - MUNICIPAL MANAGER</v>
      </c>
      <c r="B16" s="917"/>
      <c r="C16" s="849">
        <f>SUM(C17:C26)</f>
        <v>924</v>
      </c>
      <c r="D16" s="849">
        <f t="shared" ref="D16:K16" si="1">SUM(D17:D26)</f>
        <v>0</v>
      </c>
      <c r="E16" s="850">
        <f t="shared" si="1"/>
        <v>0</v>
      </c>
      <c r="F16" s="851">
        <f t="shared" si="1"/>
        <v>930000</v>
      </c>
      <c r="G16" s="849">
        <f t="shared" si="1"/>
        <v>930000</v>
      </c>
      <c r="H16" s="852">
        <f t="shared" si="1"/>
        <v>930000</v>
      </c>
      <c r="I16" s="853">
        <f t="shared" si="1"/>
        <v>750000</v>
      </c>
      <c r="J16" s="849">
        <f t="shared" si="1"/>
        <v>788000</v>
      </c>
      <c r="K16" s="850">
        <f t="shared" si="1"/>
        <v>0</v>
      </c>
      <c r="L16" s="66"/>
      <c r="M16" s="67"/>
      <c r="N16" s="67"/>
      <c r="O16" s="67"/>
      <c r="P16" s="67"/>
      <c r="Q16" s="67"/>
      <c r="R16" s="67"/>
      <c r="S16" s="67"/>
      <c r="T16" s="67"/>
      <c r="U16" s="67"/>
      <c r="V16" s="67"/>
      <c r="W16" s="67"/>
    </row>
    <row r="17" spans="1:23" ht="11.25" customHeight="1" x14ac:dyDescent="0.25">
      <c r="A17" s="1028" t="str">
        <f>'[4]Org structure'!E14</f>
        <v>2.1 - MUNICIPAL MANAGER</v>
      </c>
      <c r="B17" s="905"/>
      <c r="C17" s="1454"/>
      <c r="D17" s="1454"/>
      <c r="E17" s="2103"/>
      <c r="F17" s="2104"/>
      <c r="G17" s="1454"/>
      <c r="H17" s="1455"/>
      <c r="I17" s="2105"/>
      <c r="J17" s="1454"/>
      <c r="K17" s="2103"/>
      <c r="L17" s="66"/>
      <c r="M17" s="67"/>
      <c r="N17" s="67"/>
      <c r="O17" s="67"/>
      <c r="P17" s="67"/>
      <c r="Q17" s="67"/>
      <c r="R17" s="67"/>
      <c r="S17" s="67"/>
      <c r="T17" s="67"/>
      <c r="U17" s="67"/>
      <c r="V17" s="67"/>
      <c r="W17" s="67"/>
    </row>
    <row r="18" spans="1:23" ht="11.25" customHeight="1" x14ac:dyDescent="0.25">
      <c r="A18" s="1028" t="str">
        <f>'[4]Org structure'!E15</f>
        <v>2.2 - URBAN RENEWAL</v>
      </c>
      <c r="B18" s="905"/>
      <c r="C18" s="1454">
        <v>924</v>
      </c>
      <c r="D18" s="1454"/>
      <c r="E18" s="2103"/>
      <c r="F18" s="2104">
        <v>930000</v>
      </c>
      <c r="G18" s="1454">
        <v>930000</v>
      </c>
      <c r="H18" s="1455">
        <v>930000</v>
      </c>
      <c r="I18" s="2105">
        <v>750000</v>
      </c>
      <c r="J18" s="1454">
        <v>788000</v>
      </c>
      <c r="K18" s="2103"/>
      <c r="L18" s="66"/>
      <c r="M18" s="67"/>
      <c r="N18" s="67"/>
      <c r="O18" s="67"/>
      <c r="P18" s="67"/>
      <c r="Q18" s="67"/>
      <c r="R18" s="67"/>
      <c r="S18" s="67"/>
      <c r="T18" s="67"/>
      <c r="U18" s="67"/>
      <c r="V18" s="67"/>
      <c r="W18" s="67"/>
    </row>
    <row r="19" spans="1:23" ht="11.25" customHeight="1" x14ac:dyDescent="0.25">
      <c r="A19" s="1028">
        <f>'[4]Org structure'!E16</f>
        <v>0</v>
      </c>
      <c r="B19" s="905"/>
      <c r="C19" s="1454"/>
      <c r="D19" s="1454"/>
      <c r="E19" s="2103"/>
      <c r="F19" s="2104"/>
      <c r="G19" s="1454"/>
      <c r="H19" s="1455"/>
      <c r="I19" s="2105"/>
      <c r="J19" s="1454"/>
      <c r="K19" s="2103"/>
      <c r="L19" s="66"/>
      <c r="M19" s="67"/>
      <c r="N19" s="67"/>
      <c r="O19" s="67"/>
      <c r="P19" s="67"/>
      <c r="Q19" s="67"/>
      <c r="R19" s="67"/>
      <c r="S19" s="67"/>
      <c r="T19" s="67"/>
      <c r="U19" s="67"/>
      <c r="V19" s="67"/>
      <c r="W19" s="67"/>
    </row>
    <row r="20" spans="1:23" ht="11.25" customHeight="1" x14ac:dyDescent="0.25">
      <c r="A20" s="1028">
        <f>'[4]Org structure'!E17</f>
        <v>0</v>
      </c>
      <c r="B20" s="905"/>
      <c r="C20" s="1454"/>
      <c r="D20" s="1454"/>
      <c r="E20" s="2103"/>
      <c r="F20" s="2104"/>
      <c r="G20" s="1454"/>
      <c r="H20" s="1455"/>
      <c r="I20" s="2105"/>
      <c r="J20" s="1454"/>
      <c r="K20" s="2103"/>
      <c r="L20" s="66"/>
      <c r="M20" s="67"/>
      <c r="N20" s="67"/>
      <c r="O20" s="67"/>
      <c r="P20" s="67"/>
      <c r="Q20" s="67"/>
      <c r="R20" s="67"/>
      <c r="S20" s="67"/>
      <c r="T20" s="67"/>
      <c r="U20" s="67"/>
      <c r="V20" s="67"/>
      <c r="W20" s="67"/>
    </row>
    <row r="21" spans="1:23" ht="11.25" customHeight="1" x14ac:dyDescent="0.25">
      <c r="A21" s="1028">
        <f>'[4]Org structure'!E18</f>
        <v>0</v>
      </c>
      <c r="B21" s="905"/>
      <c r="C21" s="1454"/>
      <c r="D21" s="1454"/>
      <c r="E21" s="2103"/>
      <c r="F21" s="2104"/>
      <c r="G21" s="1454"/>
      <c r="H21" s="1455"/>
      <c r="I21" s="2105"/>
      <c r="J21" s="1454"/>
      <c r="K21" s="2103"/>
      <c r="L21" s="66"/>
      <c r="M21" s="67"/>
      <c r="N21" s="67"/>
      <c r="O21" s="67"/>
      <c r="P21" s="67"/>
      <c r="Q21" s="67"/>
      <c r="R21" s="67"/>
      <c r="S21" s="67"/>
      <c r="T21" s="67"/>
      <c r="U21" s="67"/>
      <c r="V21" s="67"/>
      <c r="W21" s="67"/>
    </row>
    <row r="22" spans="1:23" ht="11.25" customHeight="1" x14ac:dyDescent="0.25">
      <c r="A22" s="1028">
        <f>'[4]Org structure'!E19</f>
        <v>0</v>
      </c>
      <c r="B22" s="905"/>
      <c r="C22" s="1454"/>
      <c r="D22" s="1454"/>
      <c r="E22" s="2103"/>
      <c r="F22" s="2104"/>
      <c r="G22" s="1454"/>
      <c r="H22" s="1455"/>
      <c r="I22" s="2105"/>
      <c r="J22" s="1454"/>
      <c r="K22" s="2103"/>
      <c r="L22" s="66"/>
      <c r="M22" s="67"/>
      <c r="N22" s="67"/>
      <c r="O22" s="67"/>
      <c r="P22" s="67"/>
      <c r="Q22" s="67"/>
      <c r="R22" s="67"/>
      <c r="S22" s="67"/>
      <c r="T22" s="67"/>
      <c r="U22" s="67"/>
      <c r="V22" s="67"/>
      <c r="W22" s="67"/>
    </row>
    <row r="23" spans="1:23" ht="11.25" customHeight="1" x14ac:dyDescent="0.25">
      <c r="A23" s="1028">
        <f>'[4]Org structure'!E20</f>
        <v>0</v>
      </c>
      <c r="B23" s="905"/>
      <c r="C23" s="1454"/>
      <c r="D23" s="1454"/>
      <c r="E23" s="2103"/>
      <c r="F23" s="2104"/>
      <c r="G23" s="1454"/>
      <c r="H23" s="1455"/>
      <c r="I23" s="2105"/>
      <c r="J23" s="1454"/>
      <c r="K23" s="2103"/>
      <c r="L23" s="66"/>
      <c r="M23" s="67"/>
      <c r="N23" s="67"/>
      <c r="O23" s="67"/>
      <c r="P23" s="67"/>
      <c r="Q23" s="67"/>
      <c r="R23" s="67"/>
      <c r="S23" s="67"/>
      <c r="T23" s="67"/>
      <c r="U23" s="67"/>
      <c r="V23" s="67"/>
      <c r="W23" s="67"/>
    </row>
    <row r="24" spans="1:23" ht="11.25" customHeight="1" x14ac:dyDescent="0.25">
      <c r="A24" s="1028">
        <f>'[4]Org structure'!E21</f>
        <v>0</v>
      </c>
      <c r="B24" s="905"/>
      <c r="C24" s="1454"/>
      <c r="D24" s="1454"/>
      <c r="E24" s="2103"/>
      <c r="F24" s="2104"/>
      <c r="G24" s="1454"/>
      <c r="H24" s="1455"/>
      <c r="I24" s="2105"/>
      <c r="J24" s="1454"/>
      <c r="K24" s="2103"/>
      <c r="L24" s="66"/>
      <c r="M24" s="67"/>
      <c r="N24" s="67"/>
      <c r="O24" s="67"/>
      <c r="P24" s="67"/>
      <c r="Q24" s="67"/>
      <c r="R24" s="67"/>
      <c r="S24" s="67"/>
      <c r="T24" s="67"/>
      <c r="U24" s="67"/>
      <c r="V24" s="67"/>
      <c r="W24" s="67"/>
    </row>
    <row r="25" spans="1:23" ht="11.25" customHeight="1" x14ac:dyDescent="0.25">
      <c r="A25" s="1028">
        <f>'[4]Org structure'!E22</f>
        <v>0</v>
      </c>
      <c r="B25" s="905"/>
      <c r="C25" s="1454"/>
      <c r="D25" s="1454"/>
      <c r="E25" s="2103"/>
      <c r="F25" s="2104"/>
      <c r="G25" s="1454"/>
      <c r="H25" s="1455"/>
      <c r="I25" s="2105"/>
      <c r="J25" s="1454"/>
      <c r="K25" s="2103"/>
      <c r="L25" s="66"/>
      <c r="M25" s="67"/>
      <c r="N25" s="67"/>
      <c r="O25" s="67"/>
      <c r="P25" s="67"/>
      <c r="Q25" s="67"/>
      <c r="R25" s="67"/>
      <c r="S25" s="67"/>
      <c r="T25" s="67"/>
      <c r="U25" s="67"/>
      <c r="V25" s="67"/>
      <c r="W25" s="67"/>
    </row>
    <row r="26" spans="1:23" ht="11.25" customHeight="1" x14ac:dyDescent="0.25">
      <c r="A26" s="1028">
        <f>'[4]Org structure'!E23</f>
        <v>0</v>
      </c>
      <c r="B26" s="905"/>
      <c r="C26" s="1454"/>
      <c r="D26" s="1454"/>
      <c r="E26" s="2103"/>
      <c r="F26" s="2104"/>
      <c r="G26" s="1454"/>
      <c r="H26" s="1455"/>
      <c r="I26" s="2105"/>
      <c r="J26" s="1454"/>
      <c r="K26" s="2103"/>
      <c r="L26" s="66"/>
      <c r="M26" s="67"/>
      <c r="N26" s="67"/>
      <c r="O26" s="67"/>
      <c r="P26" s="67"/>
      <c r="Q26" s="67"/>
      <c r="R26" s="67"/>
      <c r="S26" s="67"/>
      <c r="T26" s="67"/>
      <c r="U26" s="67"/>
      <c r="V26" s="67"/>
      <c r="W26" s="67"/>
    </row>
    <row r="27" spans="1:23" ht="15" customHeight="1" x14ac:dyDescent="0.25">
      <c r="A27" s="1027" t="str">
        <f>'[4]Org structure'!A4</f>
        <v>Vote 3 - FINANCE</v>
      </c>
      <c r="B27" s="917"/>
      <c r="C27" s="849">
        <f>SUM(C28:C37)</f>
        <v>65389075.902000003</v>
      </c>
      <c r="D27" s="849">
        <f t="shared" ref="D27:K27" si="2">SUM(D28:D37)</f>
        <v>35770545.009999998</v>
      </c>
      <c r="E27" s="850">
        <f t="shared" si="2"/>
        <v>130039734</v>
      </c>
      <c r="F27" s="851">
        <f t="shared" si="2"/>
        <v>145947078.93000001</v>
      </c>
      <c r="G27" s="849">
        <f t="shared" si="2"/>
        <v>146804868.28</v>
      </c>
      <c r="H27" s="852">
        <f t="shared" si="2"/>
        <v>146804868.28</v>
      </c>
      <c r="I27" s="853">
        <f t="shared" si="2"/>
        <v>147592640.38</v>
      </c>
      <c r="J27" s="849">
        <f t="shared" si="2"/>
        <v>159135918.80000001</v>
      </c>
      <c r="K27" s="850">
        <f t="shared" si="2"/>
        <v>169465693.93000001</v>
      </c>
      <c r="L27" s="66"/>
      <c r="M27" s="67"/>
      <c r="N27" s="67"/>
      <c r="O27" s="67"/>
      <c r="P27" s="67"/>
      <c r="Q27" s="67"/>
      <c r="R27" s="67"/>
      <c r="S27" s="67"/>
      <c r="T27" s="67"/>
      <c r="U27" s="67"/>
      <c r="V27" s="67"/>
      <c r="W27" s="67"/>
    </row>
    <row r="28" spans="1:23" ht="11.25" customHeight="1" x14ac:dyDescent="0.25">
      <c r="A28" s="1028" t="str">
        <f>'[4]Org structure'!E25</f>
        <v>3.1 - FINANCE</v>
      </c>
      <c r="B28" s="905"/>
      <c r="C28" s="1454">
        <v>65389075.902000003</v>
      </c>
      <c r="D28" s="1454">
        <v>35770545.009999998</v>
      </c>
      <c r="E28" s="2103">
        <v>130039734</v>
      </c>
      <c r="F28" s="2095">
        <v>145947078.93000001</v>
      </c>
      <c r="G28" s="2093">
        <v>146804868.28</v>
      </c>
      <c r="H28" s="2096">
        <v>146804868.28</v>
      </c>
      <c r="I28" s="2105">
        <v>147592640.38</v>
      </c>
      <c r="J28" s="1454">
        <v>159135918.80000001</v>
      </c>
      <c r="K28" s="2103">
        <v>169465693.93000001</v>
      </c>
      <c r="L28" s="66"/>
      <c r="M28" s="67"/>
      <c r="N28" s="67"/>
      <c r="O28" s="67"/>
      <c r="P28" s="67"/>
      <c r="Q28" s="67"/>
      <c r="R28" s="67"/>
      <c r="S28" s="67"/>
      <c r="T28" s="67"/>
      <c r="U28" s="67"/>
      <c r="V28" s="67"/>
      <c r="W28" s="67"/>
    </row>
    <row r="29" spans="1:23" ht="11.25" customHeight="1" x14ac:dyDescent="0.25">
      <c r="A29" s="1028" t="str">
        <f>'[4]Org structure'!E26</f>
        <v>3.2 - STORES</v>
      </c>
      <c r="B29" s="905"/>
      <c r="C29" s="1454"/>
      <c r="D29" s="1454"/>
      <c r="E29" s="2103"/>
      <c r="F29" s="2104"/>
      <c r="G29" s="1454"/>
      <c r="H29" s="1455"/>
      <c r="I29" s="2105"/>
      <c r="J29" s="1454"/>
      <c r="K29" s="2103"/>
      <c r="L29" s="66"/>
      <c r="M29" s="67"/>
      <c r="N29" s="67"/>
      <c r="O29" s="67"/>
      <c r="P29" s="67"/>
      <c r="Q29" s="67"/>
      <c r="R29" s="67"/>
      <c r="S29" s="67"/>
      <c r="T29" s="67"/>
      <c r="U29" s="67"/>
      <c r="V29" s="67"/>
      <c r="W29" s="67"/>
    </row>
    <row r="30" spans="1:23" ht="11.25" customHeight="1" x14ac:dyDescent="0.25">
      <c r="A30" s="1028" t="str">
        <f>'[4]Org structure'!E27</f>
        <v>3.3 - FLEET</v>
      </c>
      <c r="B30" s="905"/>
      <c r="C30" s="1454"/>
      <c r="D30" s="1454"/>
      <c r="E30" s="2103"/>
      <c r="F30" s="2104"/>
      <c r="G30" s="1454"/>
      <c r="H30" s="1455"/>
      <c r="I30" s="2105"/>
      <c r="J30" s="1454"/>
      <c r="K30" s="2103"/>
      <c r="L30" s="66"/>
      <c r="M30" s="67"/>
      <c r="N30" s="67"/>
      <c r="O30" s="67"/>
      <c r="P30" s="67"/>
      <c r="Q30" s="67"/>
      <c r="R30" s="67"/>
      <c r="S30" s="67"/>
      <c r="T30" s="67"/>
      <c r="U30" s="67"/>
      <c r="V30" s="67"/>
      <c r="W30" s="67"/>
    </row>
    <row r="31" spans="1:23" ht="11.25" customHeight="1" x14ac:dyDescent="0.25">
      <c r="A31" s="1028">
        <f>'[4]Org structure'!E28</f>
        <v>0</v>
      </c>
      <c r="B31" s="905"/>
      <c r="C31" s="1454"/>
      <c r="D31" s="1454"/>
      <c r="E31" s="2103"/>
      <c r="F31" s="2104"/>
      <c r="G31" s="1454"/>
      <c r="H31" s="1455"/>
      <c r="I31" s="2105"/>
      <c r="J31" s="1454"/>
      <c r="K31" s="2103"/>
      <c r="L31" s="66"/>
      <c r="M31" s="67"/>
      <c r="N31" s="67"/>
      <c r="O31" s="67"/>
      <c r="P31" s="67"/>
      <c r="Q31" s="67"/>
      <c r="R31" s="67"/>
      <c r="S31" s="67"/>
      <c r="T31" s="67"/>
      <c r="U31" s="67"/>
      <c r="V31" s="67"/>
      <c r="W31" s="67"/>
    </row>
    <row r="32" spans="1:23" ht="11.25" customHeight="1" x14ac:dyDescent="0.25">
      <c r="A32" s="1028">
        <f>'[4]Org structure'!E29</f>
        <v>0</v>
      </c>
      <c r="B32" s="905"/>
      <c r="C32" s="1454"/>
      <c r="D32" s="1454"/>
      <c r="E32" s="2103"/>
      <c r="F32" s="2104"/>
      <c r="G32" s="1454"/>
      <c r="H32" s="1455"/>
      <c r="I32" s="2105"/>
      <c r="J32" s="1454"/>
      <c r="K32" s="2103"/>
      <c r="L32" s="66"/>
      <c r="M32" s="67"/>
      <c r="N32" s="67"/>
      <c r="O32" s="67"/>
      <c r="P32" s="67"/>
      <c r="Q32" s="67"/>
      <c r="R32" s="67"/>
      <c r="S32" s="67"/>
      <c r="T32" s="67"/>
      <c r="U32" s="67"/>
      <c r="V32" s="67"/>
      <c r="W32" s="67"/>
    </row>
    <row r="33" spans="1:23" ht="11.25" customHeight="1" x14ac:dyDescent="0.25">
      <c r="A33" s="1028">
        <f>'[4]Org structure'!E30</f>
        <v>0</v>
      </c>
      <c r="B33" s="905"/>
      <c r="C33" s="1454"/>
      <c r="D33" s="1454"/>
      <c r="E33" s="2103"/>
      <c r="F33" s="2104"/>
      <c r="G33" s="1454"/>
      <c r="H33" s="1455"/>
      <c r="I33" s="2105"/>
      <c r="J33" s="1454"/>
      <c r="K33" s="2103"/>
      <c r="L33" s="66"/>
      <c r="M33" s="67"/>
      <c r="N33" s="67"/>
      <c r="O33" s="67"/>
      <c r="P33" s="67"/>
      <c r="Q33" s="67"/>
      <c r="R33" s="67"/>
      <c r="S33" s="67"/>
      <c r="T33" s="67"/>
      <c r="U33" s="67"/>
      <c r="V33" s="67"/>
      <c r="W33" s="67"/>
    </row>
    <row r="34" spans="1:23" ht="11.25" customHeight="1" x14ac:dyDescent="0.25">
      <c r="A34" s="1028">
        <f>'[4]Org structure'!E31</f>
        <v>0</v>
      </c>
      <c r="B34" s="905"/>
      <c r="C34" s="1454"/>
      <c r="D34" s="1454"/>
      <c r="E34" s="2103"/>
      <c r="F34" s="2104"/>
      <c r="G34" s="1454"/>
      <c r="H34" s="1455"/>
      <c r="I34" s="2105"/>
      <c r="J34" s="1454"/>
      <c r="K34" s="2103"/>
      <c r="L34" s="66"/>
      <c r="M34" s="67"/>
      <c r="N34" s="67"/>
      <c r="O34" s="67"/>
      <c r="P34" s="67"/>
      <c r="Q34" s="67"/>
      <c r="R34" s="67"/>
      <c r="S34" s="67"/>
      <c r="T34" s="67"/>
      <c r="U34" s="67"/>
      <c r="V34" s="67"/>
      <c r="W34" s="67"/>
    </row>
    <row r="35" spans="1:23" ht="11.25" customHeight="1" x14ac:dyDescent="0.25">
      <c r="A35" s="1028">
        <f>'[4]Org structure'!E32</f>
        <v>0</v>
      </c>
      <c r="B35" s="905"/>
      <c r="C35" s="1454"/>
      <c r="D35" s="1454"/>
      <c r="E35" s="2103"/>
      <c r="F35" s="2104"/>
      <c r="G35" s="1454"/>
      <c r="H35" s="1455"/>
      <c r="I35" s="2105"/>
      <c r="J35" s="1454"/>
      <c r="K35" s="2103"/>
      <c r="L35" s="66"/>
      <c r="M35" s="67"/>
      <c r="N35" s="67"/>
      <c r="O35" s="67"/>
      <c r="P35" s="67"/>
      <c r="Q35" s="67"/>
      <c r="R35" s="67"/>
      <c r="S35" s="67"/>
      <c r="T35" s="67"/>
      <c r="U35" s="67"/>
      <c r="V35" s="67"/>
      <c r="W35" s="67"/>
    </row>
    <row r="36" spans="1:23" ht="11.25" customHeight="1" x14ac:dyDescent="0.25">
      <c r="A36" s="1028">
        <f>'[4]Org structure'!E33</f>
        <v>0</v>
      </c>
      <c r="B36" s="905"/>
      <c r="C36" s="1454"/>
      <c r="D36" s="1454"/>
      <c r="E36" s="2103"/>
      <c r="F36" s="2104"/>
      <c r="G36" s="1454"/>
      <c r="H36" s="1455"/>
      <c r="I36" s="2105"/>
      <c r="J36" s="1454"/>
      <c r="K36" s="2103"/>
      <c r="L36" s="66"/>
      <c r="M36" s="67"/>
      <c r="N36" s="67"/>
      <c r="O36" s="67"/>
      <c r="P36" s="67"/>
      <c r="Q36" s="67"/>
      <c r="R36" s="67"/>
      <c r="S36" s="67"/>
      <c r="T36" s="67"/>
      <c r="U36" s="67"/>
      <c r="V36" s="67"/>
      <c r="W36" s="67"/>
    </row>
    <row r="37" spans="1:23" ht="11.25" customHeight="1" x14ac:dyDescent="0.25">
      <c r="A37" s="1028">
        <f>'[4]Org structure'!E34</f>
        <v>0</v>
      </c>
      <c r="B37" s="905"/>
      <c r="C37" s="1454"/>
      <c r="D37" s="1454"/>
      <c r="E37" s="2103"/>
      <c r="F37" s="2104"/>
      <c r="G37" s="1454"/>
      <c r="H37" s="1455"/>
      <c r="I37" s="2105"/>
      <c r="J37" s="1454"/>
      <c r="K37" s="2103"/>
      <c r="L37" s="66"/>
      <c r="M37" s="67"/>
      <c r="N37" s="67"/>
      <c r="O37" s="67"/>
      <c r="P37" s="67"/>
      <c r="Q37" s="67"/>
      <c r="R37" s="67"/>
      <c r="S37" s="67"/>
      <c r="T37" s="67"/>
      <c r="U37" s="67"/>
      <c r="V37" s="67"/>
      <c r="W37" s="67"/>
    </row>
    <row r="38" spans="1:23" ht="15" customHeight="1" x14ac:dyDescent="0.25">
      <c r="A38" s="1027" t="str">
        <f>'[4]Org structure'!A5</f>
        <v>Vote 4 - CORPORATE SERVICES MANAGEMENT</v>
      </c>
      <c r="B38" s="917"/>
      <c r="C38" s="849">
        <f t="shared" ref="C38:K38" si="3">SUM(C39:C48)</f>
        <v>33745797.179200001</v>
      </c>
      <c r="D38" s="849">
        <f t="shared" si="3"/>
        <v>73347019.839999989</v>
      </c>
      <c r="E38" s="850">
        <f t="shared" si="3"/>
        <v>1971</v>
      </c>
      <c r="F38" s="851">
        <f t="shared" si="3"/>
        <v>0</v>
      </c>
      <c r="G38" s="849">
        <f t="shared" si="3"/>
        <v>0</v>
      </c>
      <c r="H38" s="852">
        <f t="shared" si="3"/>
        <v>0</v>
      </c>
      <c r="I38" s="853">
        <f t="shared" si="3"/>
        <v>0</v>
      </c>
      <c r="J38" s="849">
        <f t="shared" si="3"/>
        <v>0</v>
      </c>
      <c r="K38" s="850">
        <f t="shared" si="3"/>
        <v>0</v>
      </c>
      <c r="L38" s="66"/>
      <c r="M38" s="67"/>
      <c r="N38" s="67"/>
      <c r="O38" s="67"/>
      <c r="P38" s="67"/>
      <c r="Q38" s="67"/>
      <c r="R38" s="67"/>
      <c r="S38" s="67"/>
      <c r="T38" s="67"/>
      <c r="U38" s="67"/>
      <c r="V38" s="67"/>
      <c r="W38" s="67"/>
    </row>
    <row r="39" spans="1:23" ht="11.25" customHeight="1" x14ac:dyDescent="0.25">
      <c r="A39" s="1028">
        <f>'[4]Org structure'!E36</f>
        <v>0</v>
      </c>
      <c r="B39" s="905"/>
      <c r="C39" s="1454"/>
      <c r="D39" s="1454"/>
      <c r="E39" s="2103"/>
      <c r="F39" s="2104"/>
      <c r="G39" s="1454"/>
      <c r="H39" s="1455"/>
      <c r="I39" s="2105"/>
      <c r="J39" s="1454"/>
      <c r="K39" s="2103"/>
      <c r="L39" s="66"/>
      <c r="M39" s="67"/>
      <c r="N39" s="67"/>
      <c r="O39" s="67"/>
      <c r="P39" s="67"/>
      <c r="Q39" s="67"/>
      <c r="R39" s="67"/>
      <c r="S39" s="67"/>
      <c r="T39" s="67"/>
      <c r="U39" s="67"/>
      <c r="V39" s="67"/>
      <c r="W39" s="67"/>
    </row>
    <row r="40" spans="1:23" ht="11.25" customHeight="1" x14ac:dyDescent="0.25">
      <c r="A40" s="1028" t="str">
        <f>'[4]Org structure'!E37</f>
        <v>4.2 - HUMAN RESOURCES</v>
      </c>
      <c r="B40" s="905"/>
      <c r="C40" s="1454"/>
      <c r="D40" s="1454"/>
      <c r="E40" s="2103"/>
      <c r="F40" s="2104"/>
      <c r="G40" s="1454"/>
      <c r="H40" s="1455"/>
      <c r="I40" s="2105"/>
      <c r="J40" s="1454"/>
      <c r="K40" s="2103"/>
      <c r="L40" s="66"/>
      <c r="M40" s="67"/>
      <c r="N40" s="67"/>
      <c r="O40" s="67"/>
      <c r="P40" s="67"/>
      <c r="Q40" s="67"/>
      <c r="R40" s="67"/>
      <c r="S40" s="67"/>
      <c r="T40" s="67"/>
      <c r="U40" s="67"/>
      <c r="V40" s="67"/>
      <c r="W40" s="67"/>
    </row>
    <row r="41" spans="1:23" ht="11.25" customHeight="1" x14ac:dyDescent="0.25">
      <c r="A41" s="1028" t="str">
        <f>'[4]Org structure'!E38</f>
        <v>4.3 - ADMINISTRATION</v>
      </c>
      <c r="B41" s="905"/>
      <c r="C41" s="1454">
        <v>33745797.179200001</v>
      </c>
      <c r="D41" s="1454">
        <v>73347019.839999989</v>
      </c>
      <c r="E41" s="2103">
        <v>1971</v>
      </c>
      <c r="F41" s="2104"/>
      <c r="G41" s="1454"/>
      <c r="H41" s="1455"/>
      <c r="I41" s="2105"/>
      <c r="J41" s="1454"/>
      <c r="K41" s="2103"/>
      <c r="L41" s="66"/>
      <c r="M41" s="67"/>
      <c r="N41" s="67"/>
      <c r="O41" s="67"/>
      <c r="P41" s="67"/>
      <c r="Q41" s="67"/>
      <c r="R41" s="67"/>
      <c r="S41" s="67"/>
      <c r="T41" s="67"/>
      <c r="U41" s="67"/>
      <c r="V41" s="67"/>
      <c r="W41" s="67"/>
    </row>
    <row r="42" spans="1:23" ht="11.25" customHeight="1" x14ac:dyDescent="0.25">
      <c r="A42" s="1028" t="str">
        <f>'[4]Org structure'!E39</f>
        <v>4.4 - CORPORATE SERVICES MANAGEMENT</v>
      </c>
      <c r="B42" s="905"/>
      <c r="C42" s="1454"/>
      <c r="D42" s="1454"/>
      <c r="E42" s="2103"/>
      <c r="F42" s="2104"/>
      <c r="G42" s="1454"/>
      <c r="H42" s="1455"/>
      <c r="I42" s="2105"/>
      <c r="J42" s="1454"/>
      <c r="K42" s="2103"/>
      <c r="L42" s="66"/>
      <c r="M42" s="67"/>
      <c r="N42" s="67"/>
      <c r="O42" s="67"/>
      <c r="P42" s="67"/>
      <c r="Q42" s="67"/>
      <c r="R42" s="67"/>
      <c r="S42" s="67"/>
      <c r="T42" s="67"/>
      <c r="U42" s="67"/>
      <c r="V42" s="67"/>
      <c r="W42" s="67"/>
    </row>
    <row r="43" spans="1:23" ht="11.25" customHeight="1" x14ac:dyDescent="0.25">
      <c r="A43" s="1028">
        <f>'[4]Org structure'!E40</f>
        <v>0</v>
      </c>
      <c r="B43" s="905"/>
      <c r="C43" s="1454"/>
      <c r="D43" s="1454"/>
      <c r="E43" s="2103"/>
      <c r="F43" s="2104"/>
      <c r="G43" s="1454"/>
      <c r="H43" s="1455"/>
      <c r="I43" s="2105"/>
      <c r="J43" s="1454"/>
      <c r="K43" s="2103"/>
      <c r="L43" s="66"/>
      <c r="M43" s="67"/>
      <c r="N43" s="67"/>
      <c r="O43" s="67"/>
      <c r="P43" s="67"/>
      <c r="Q43" s="67"/>
      <c r="R43" s="67"/>
      <c r="S43" s="67"/>
      <c r="T43" s="67"/>
      <c r="U43" s="67"/>
      <c r="V43" s="67"/>
      <c r="W43" s="67"/>
    </row>
    <row r="44" spans="1:23" ht="11.25" customHeight="1" x14ac:dyDescent="0.25">
      <c r="A44" s="1028">
        <f>'[4]Org structure'!E41</f>
        <v>0</v>
      </c>
      <c r="B44" s="905"/>
      <c r="C44" s="1454"/>
      <c r="D44" s="1454"/>
      <c r="E44" s="2103"/>
      <c r="F44" s="2104"/>
      <c r="G44" s="1454"/>
      <c r="H44" s="1455"/>
      <c r="I44" s="2105"/>
      <c r="J44" s="1454"/>
      <c r="K44" s="2103"/>
      <c r="L44" s="66"/>
      <c r="M44" s="67"/>
      <c r="N44" s="67"/>
      <c r="O44" s="67"/>
      <c r="P44" s="67"/>
      <c r="Q44" s="67"/>
      <c r="R44" s="67"/>
      <c r="S44" s="67"/>
      <c r="T44" s="67"/>
      <c r="U44" s="67"/>
      <c r="V44" s="67"/>
      <c r="W44" s="67"/>
    </row>
    <row r="45" spans="1:23" ht="11.25" customHeight="1" x14ac:dyDescent="0.25">
      <c r="A45" s="1028">
        <f>'[4]Org structure'!E42</f>
        <v>0</v>
      </c>
      <c r="B45" s="905"/>
      <c r="C45" s="1454"/>
      <c r="D45" s="1454"/>
      <c r="E45" s="2103"/>
      <c r="F45" s="2104"/>
      <c r="G45" s="1454"/>
      <c r="H45" s="1455"/>
      <c r="I45" s="2105"/>
      <c r="J45" s="1454"/>
      <c r="K45" s="2103"/>
      <c r="L45" s="66"/>
      <c r="M45" s="67"/>
      <c r="N45" s="67"/>
      <c r="O45" s="67"/>
      <c r="P45" s="67"/>
      <c r="Q45" s="67"/>
      <c r="R45" s="67"/>
      <c r="S45" s="67"/>
      <c r="T45" s="67"/>
      <c r="U45" s="67"/>
      <c r="V45" s="67"/>
      <c r="W45" s="67"/>
    </row>
    <row r="46" spans="1:23" ht="11.25" customHeight="1" x14ac:dyDescent="0.25">
      <c r="A46" s="1028">
        <f>'[4]Org structure'!E43</f>
        <v>0</v>
      </c>
      <c r="B46" s="905"/>
      <c r="C46" s="1454"/>
      <c r="D46" s="1454"/>
      <c r="E46" s="2103"/>
      <c r="F46" s="2104"/>
      <c r="G46" s="1454"/>
      <c r="H46" s="1455"/>
      <c r="I46" s="2105"/>
      <c r="J46" s="1454"/>
      <c r="K46" s="2103"/>
      <c r="L46" s="66"/>
      <c r="M46" s="67"/>
      <c r="N46" s="67"/>
      <c r="O46" s="67"/>
      <c r="P46" s="67"/>
      <c r="Q46" s="67"/>
      <c r="R46" s="67"/>
      <c r="S46" s="67"/>
      <c r="T46" s="67"/>
      <c r="U46" s="67"/>
      <c r="V46" s="67"/>
      <c r="W46" s="67"/>
    </row>
    <row r="47" spans="1:23" ht="11.25" customHeight="1" x14ac:dyDescent="0.25">
      <c r="A47" s="1028">
        <f>'[4]Org structure'!E44</f>
        <v>0</v>
      </c>
      <c r="B47" s="905"/>
      <c r="C47" s="1454"/>
      <c r="D47" s="1454"/>
      <c r="E47" s="2103"/>
      <c r="F47" s="2104"/>
      <c r="G47" s="1454"/>
      <c r="H47" s="1455"/>
      <c r="I47" s="2105"/>
      <c r="J47" s="1454"/>
      <c r="K47" s="2103"/>
      <c r="L47" s="66"/>
      <c r="M47" s="67"/>
      <c r="N47" s="67"/>
      <c r="O47" s="67"/>
      <c r="P47" s="67"/>
      <c r="Q47" s="67"/>
      <c r="R47" s="67"/>
      <c r="S47" s="67"/>
      <c r="T47" s="67"/>
      <c r="U47" s="67"/>
      <c r="V47" s="67"/>
      <c r="W47" s="67"/>
    </row>
    <row r="48" spans="1:23" ht="11.25" customHeight="1" x14ac:dyDescent="0.25">
      <c r="A48" s="1028">
        <f>'[4]Org structure'!E45</f>
        <v>0</v>
      </c>
      <c r="B48" s="905"/>
      <c r="C48" s="1454"/>
      <c r="D48" s="1454"/>
      <c r="E48" s="2103"/>
      <c r="F48" s="2104"/>
      <c r="G48" s="1454"/>
      <c r="H48" s="1455"/>
      <c r="I48" s="2105"/>
      <c r="J48" s="1454"/>
      <c r="K48" s="2103"/>
      <c r="L48" s="66"/>
      <c r="M48" s="67"/>
      <c r="N48" s="67"/>
      <c r="O48" s="67"/>
      <c r="P48" s="67"/>
      <c r="Q48" s="67"/>
      <c r="R48" s="67"/>
      <c r="S48" s="67"/>
      <c r="T48" s="67"/>
      <c r="U48" s="67"/>
      <c r="V48" s="67"/>
      <c r="W48" s="67"/>
    </row>
    <row r="49" spans="1:23" ht="15" customHeight="1" x14ac:dyDescent="0.25">
      <c r="A49" s="1027" t="str">
        <f>'[4]Org structure'!A6</f>
        <v>Vote 5 - COMMUNITY SERVICES MANAGEMENT</v>
      </c>
      <c r="B49" s="917"/>
      <c r="C49" s="849">
        <f>SUM(C50:C59)</f>
        <v>9916195.1699999999</v>
      </c>
      <c r="D49" s="849">
        <f t="shared" ref="D49:K49" si="4">SUM(D50:D59)</f>
        <v>12998802.52</v>
      </c>
      <c r="E49" s="850">
        <f t="shared" si="4"/>
        <v>10121440</v>
      </c>
      <c r="F49" s="851">
        <f t="shared" si="4"/>
        <v>17033257.880000003</v>
      </c>
      <c r="G49" s="849">
        <f t="shared" si="4"/>
        <v>15441906.790000001</v>
      </c>
      <c r="H49" s="852">
        <f t="shared" si="4"/>
        <v>15441906.790000001</v>
      </c>
      <c r="I49" s="853">
        <f t="shared" si="4"/>
        <v>16368421.199999999</v>
      </c>
      <c r="J49" s="849">
        <f t="shared" si="4"/>
        <v>17350526.479999997</v>
      </c>
      <c r="K49" s="850">
        <f t="shared" si="4"/>
        <v>18391558.059999999</v>
      </c>
      <c r="L49" s="66"/>
      <c r="M49" s="67"/>
      <c r="N49" s="67"/>
      <c r="O49" s="67"/>
      <c r="P49" s="67"/>
      <c r="Q49" s="67"/>
      <c r="R49" s="67"/>
      <c r="S49" s="67"/>
      <c r="T49" s="67"/>
      <c r="U49" s="67"/>
      <c r="V49" s="67"/>
      <c r="W49" s="67"/>
    </row>
    <row r="50" spans="1:23" ht="11.25" customHeight="1" x14ac:dyDescent="0.25">
      <c r="A50" s="1028" t="str">
        <f>'[4]Org structure'!E47</f>
        <v>5.1 - COMMUNITY SERVICES MANAGEMENT</v>
      </c>
      <c r="B50" s="905"/>
      <c r="C50" s="1454"/>
      <c r="D50" s="1454"/>
      <c r="E50" s="2103"/>
      <c r="F50" s="2104"/>
      <c r="G50" s="1454"/>
      <c r="H50" s="1455"/>
      <c r="I50" s="2105"/>
      <c r="J50" s="1454"/>
      <c r="K50" s="2103"/>
      <c r="L50" s="66"/>
      <c r="M50" s="67"/>
      <c r="N50" s="67"/>
      <c r="O50" s="67"/>
      <c r="P50" s="67"/>
      <c r="Q50" s="67"/>
      <c r="R50" s="67"/>
      <c r="S50" s="67"/>
      <c r="T50" s="67"/>
      <c r="U50" s="67"/>
      <c r="V50" s="67"/>
      <c r="W50" s="67"/>
    </row>
    <row r="51" spans="1:23" ht="11.25" customHeight="1" x14ac:dyDescent="0.25">
      <c r="A51" s="1028" t="str">
        <f>'[4]Org structure'!E48</f>
        <v>5.2 - LIBRARY</v>
      </c>
      <c r="B51" s="905"/>
      <c r="C51" s="1454">
        <v>47.88</v>
      </c>
      <c r="D51" s="1454">
        <v>47.88</v>
      </c>
      <c r="E51" s="2103">
        <v>1885</v>
      </c>
      <c r="F51" s="2090">
        <v>2466.13</v>
      </c>
      <c r="G51" s="2088">
        <v>2466.13</v>
      </c>
      <c r="H51" s="2091">
        <v>2466.13</v>
      </c>
      <c r="I51" s="2105">
        <v>2614.1</v>
      </c>
      <c r="J51" s="1454">
        <v>2770.94</v>
      </c>
      <c r="K51" s="2103">
        <v>2937.2</v>
      </c>
      <c r="L51" s="66"/>
      <c r="M51" s="67"/>
      <c r="N51" s="67"/>
      <c r="O51" s="67"/>
      <c r="P51" s="67"/>
      <c r="Q51" s="67"/>
      <c r="R51" s="67"/>
      <c r="S51" s="67"/>
      <c r="T51" s="67"/>
      <c r="U51" s="67"/>
      <c r="V51" s="67"/>
      <c r="W51" s="67"/>
    </row>
    <row r="52" spans="1:23" ht="11.25" customHeight="1" x14ac:dyDescent="0.25">
      <c r="A52" s="1028" t="str">
        <f>'[4]Org structure'!E49</f>
        <v>5.3 - HEALTH GENERAL</v>
      </c>
      <c r="B52" s="905"/>
      <c r="C52" s="1454"/>
      <c r="D52" s="1454"/>
      <c r="E52" s="2103"/>
      <c r="F52" s="2104"/>
      <c r="G52" s="1454"/>
      <c r="H52" s="1455"/>
      <c r="I52" s="2105"/>
      <c r="J52" s="1454"/>
      <c r="K52" s="2103"/>
      <c r="L52" s="66"/>
      <c r="M52" s="67"/>
      <c r="N52" s="67"/>
      <c r="O52" s="67"/>
      <c r="P52" s="67"/>
      <c r="Q52" s="67"/>
      <c r="R52" s="67"/>
      <c r="S52" s="67"/>
      <c r="T52" s="67"/>
      <c r="U52" s="67"/>
      <c r="V52" s="67"/>
      <c r="W52" s="67"/>
    </row>
    <row r="53" spans="1:23" ht="11.25" customHeight="1" x14ac:dyDescent="0.25">
      <c r="A53" s="1028" t="str">
        <f>'[4]Org structure'!E50</f>
        <v>5.4 - REGISTRATION AUTHORITY</v>
      </c>
      <c r="B53" s="905"/>
      <c r="C53" s="1454">
        <v>6804738.9400000004</v>
      </c>
      <c r="D53" s="1454">
        <v>4648878.92</v>
      </c>
      <c r="E53" s="2103">
        <v>5680404</v>
      </c>
      <c r="F53" s="2090">
        <v>12537441.859999999</v>
      </c>
      <c r="G53" s="2088">
        <v>10946090.77</v>
      </c>
      <c r="H53" s="2088">
        <v>10946090.77</v>
      </c>
      <c r="I53" s="2105">
        <v>11602856.220000001</v>
      </c>
      <c r="J53" s="1454">
        <v>12299027.59</v>
      </c>
      <c r="K53" s="2103">
        <v>13036969.24</v>
      </c>
      <c r="L53" s="66"/>
      <c r="M53" s="67"/>
      <c r="N53" s="67"/>
      <c r="O53" s="67"/>
      <c r="P53" s="67"/>
      <c r="Q53" s="67"/>
      <c r="R53" s="67"/>
      <c r="S53" s="67"/>
      <c r="T53" s="67"/>
      <c r="U53" s="67"/>
      <c r="V53" s="67"/>
      <c r="W53" s="67"/>
    </row>
    <row r="54" spans="1:23" ht="11.25" customHeight="1" x14ac:dyDescent="0.25">
      <c r="A54" s="1028" t="str">
        <f>'[4]Org structure'!E51</f>
        <v>5.5 - LICENCING &amp; TRAFFIC</v>
      </c>
      <c r="B54" s="905"/>
      <c r="C54" s="1454">
        <v>161821.15</v>
      </c>
      <c r="D54" s="1454">
        <v>198865.28</v>
      </c>
      <c r="E54" s="2103"/>
      <c r="F54" s="2104">
        <v>309774.40000000002</v>
      </c>
      <c r="G54" s="2104">
        <v>309774.40000000002</v>
      </c>
      <c r="H54" s="2104">
        <v>309774.40000000002</v>
      </c>
      <c r="I54" s="2105">
        <v>328360.86</v>
      </c>
      <c r="J54" s="1454">
        <v>348062.52</v>
      </c>
      <c r="K54" s="2103">
        <v>368946.27</v>
      </c>
      <c r="L54" s="66"/>
      <c r="M54" s="67"/>
      <c r="N54" s="67"/>
      <c r="O54" s="67"/>
      <c r="P54" s="67"/>
      <c r="Q54" s="67"/>
      <c r="R54" s="67"/>
      <c r="S54" s="67"/>
      <c r="T54" s="67"/>
      <c r="U54" s="67"/>
      <c r="V54" s="67"/>
      <c r="W54" s="67"/>
    </row>
    <row r="55" spans="1:23" ht="11.25" customHeight="1" x14ac:dyDescent="0.25">
      <c r="A55" s="1028" t="str">
        <f>'[4]Org structure'!E52</f>
        <v>5.6 - PARKS &amp; CEMETRIES</v>
      </c>
      <c r="B55" s="905"/>
      <c r="C55" s="1454">
        <v>9067.52</v>
      </c>
      <c r="D55" s="1454">
        <v>4732141.959999999</v>
      </c>
      <c r="E55" s="2103">
        <v>30617</v>
      </c>
      <c r="F55" s="2104">
        <v>25535.4</v>
      </c>
      <c r="G55" s="2104">
        <v>25535.4</v>
      </c>
      <c r="H55" s="2104">
        <v>25535.4</v>
      </c>
      <c r="I55" s="2105">
        <v>27067.52</v>
      </c>
      <c r="J55" s="1454">
        <v>28691.58</v>
      </c>
      <c r="K55" s="2103">
        <v>30413.07</v>
      </c>
      <c r="L55" s="66"/>
      <c r="M55" s="67"/>
      <c r="N55" s="67"/>
      <c r="O55" s="67"/>
      <c r="P55" s="67"/>
      <c r="Q55" s="67"/>
      <c r="R55" s="67"/>
      <c r="S55" s="67"/>
      <c r="T55" s="67"/>
      <c r="U55" s="67"/>
      <c r="V55" s="67"/>
      <c r="W55" s="67"/>
    </row>
    <row r="56" spans="1:23" ht="11.25" customHeight="1" x14ac:dyDescent="0.25">
      <c r="A56" s="1028" t="str">
        <f>'[4]Org structure'!E53</f>
        <v>5.7 - SOLID WASTE</v>
      </c>
      <c r="B56" s="905"/>
      <c r="C56" s="1454">
        <v>2940519.6799999997</v>
      </c>
      <c r="D56" s="1454">
        <v>3418868.48</v>
      </c>
      <c r="E56" s="2103">
        <v>4408534</v>
      </c>
      <c r="F56" s="2104">
        <v>4158040.09</v>
      </c>
      <c r="G56" s="2104">
        <v>4158040.09</v>
      </c>
      <c r="H56" s="2104">
        <v>4158040.09</v>
      </c>
      <c r="I56" s="2105">
        <v>4407522.5</v>
      </c>
      <c r="J56" s="1454">
        <v>4671973.8499999996</v>
      </c>
      <c r="K56" s="2103">
        <v>4952292.28</v>
      </c>
      <c r="L56" s="66"/>
      <c r="M56" s="67"/>
      <c r="N56" s="67"/>
      <c r="O56" s="67"/>
      <c r="P56" s="67"/>
      <c r="Q56" s="67"/>
      <c r="R56" s="67"/>
      <c r="S56" s="67"/>
      <c r="T56" s="67"/>
      <c r="U56" s="67"/>
      <c r="V56" s="67"/>
      <c r="W56" s="67"/>
    </row>
    <row r="57" spans="1:23" ht="11.25" customHeight="1" x14ac:dyDescent="0.25">
      <c r="A57" s="1028" t="str">
        <f>'[4]Org structure'!E54</f>
        <v>5.8 - SPORTS ARTS AND CULTURE</v>
      </c>
      <c r="B57" s="905"/>
      <c r="C57" s="1454"/>
      <c r="D57" s="1454"/>
      <c r="E57" s="2103"/>
      <c r="F57" s="2104"/>
      <c r="G57" s="1454"/>
      <c r="H57" s="1455"/>
      <c r="I57" s="2105"/>
      <c r="J57" s="1454"/>
      <c r="K57" s="2103"/>
      <c r="L57" s="66"/>
      <c r="M57" s="67"/>
      <c r="N57" s="67"/>
      <c r="O57" s="67"/>
      <c r="P57" s="67"/>
      <c r="Q57" s="67"/>
      <c r="R57" s="67"/>
      <c r="S57" s="67"/>
      <c r="T57" s="67"/>
      <c r="U57" s="67"/>
      <c r="V57" s="67"/>
      <c r="W57" s="67"/>
    </row>
    <row r="58" spans="1:23" ht="11.25" customHeight="1" x14ac:dyDescent="0.25">
      <c r="A58" s="1028" t="str">
        <f>'[4]Org structure'!E55</f>
        <v>5.9 - HIV/AIDS</v>
      </c>
      <c r="B58" s="905"/>
      <c r="C58" s="1454"/>
      <c r="D58" s="1454"/>
      <c r="E58" s="2103"/>
      <c r="F58" s="2104"/>
      <c r="G58" s="1454"/>
      <c r="H58" s="1455"/>
      <c r="I58" s="2105"/>
      <c r="J58" s="1454"/>
      <c r="K58" s="2103"/>
      <c r="L58" s="66"/>
      <c r="M58" s="67"/>
      <c r="N58" s="67"/>
      <c r="O58" s="67"/>
      <c r="P58" s="67"/>
      <c r="Q58" s="67"/>
      <c r="R58" s="67"/>
      <c r="S58" s="67"/>
      <c r="T58" s="67"/>
      <c r="U58" s="67"/>
      <c r="V58" s="67"/>
      <c r="W58" s="67"/>
    </row>
    <row r="59" spans="1:23" ht="11.25" customHeight="1" x14ac:dyDescent="0.25">
      <c r="A59" s="1028">
        <f>'[4]Org structure'!E56</f>
        <v>0</v>
      </c>
      <c r="B59" s="905"/>
      <c r="C59" s="1454"/>
      <c r="D59" s="1454"/>
      <c r="E59" s="2103"/>
      <c r="F59" s="2104"/>
      <c r="G59" s="1454"/>
      <c r="H59" s="1455"/>
      <c r="I59" s="2105"/>
      <c r="J59" s="1454"/>
      <c r="K59" s="2103"/>
      <c r="L59" s="66"/>
      <c r="M59" s="67"/>
      <c r="N59" s="67"/>
      <c r="O59" s="67"/>
      <c r="P59" s="67"/>
      <c r="Q59" s="67"/>
      <c r="R59" s="67"/>
      <c r="S59" s="67"/>
      <c r="T59" s="67"/>
      <c r="U59" s="67"/>
      <c r="V59" s="67"/>
      <c r="W59" s="67"/>
    </row>
    <row r="60" spans="1:23" ht="15" customHeight="1" x14ac:dyDescent="0.25">
      <c r="A60" s="1027" t="str">
        <f>'[4]Org structure'!A7</f>
        <v>Vote 6 - TECHNICAL SERVICES</v>
      </c>
      <c r="B60" s="917"/>
      <c r="C60" s="849">
        <f t="shared" ref="C60:K60" si="5">SUM(C61:C67)</f>
        <v>63034296.419000007</v>
      </c>
      <c r="D60" s="849">
        <f t="shared" si="5"/>
        <v>56668474.680000007</v>
      </c>
      <c r="E60" s="850">
        <f t="shared" si="5"/>
        <v>70852473</v>
      </c>
      <c r="F60" s="851">
        <f t="shared" si="5"/>
        <v>85095879.170000002</v>
      </c>
      <c r="G60" s="849">
        <f t="shared" si="5"/>
        <v>88132761.170000002</v>
      </c>
      <c r="H60" s="852">
        <f t="shared" si="5"/>
        <v>88132761.170000002</v>
      </c>
      <c r="I60" s="853">
        <f t="shared" si="5"/>
        <v>88771698.959999993</v>
      </c>
      <c r="J60" s="849">
        <f t="shared" si="5"/>
        <v>94444980.890000001</v>
      </c>
      <c r="K60" s="850">
        <f t="shared" si="5"/>
        <v>100868939.75</v>
      </c>
      <c r="L60" s="66"/>
      <c r="M60" s="67"/>
      <c r="N60" s="67"/>
      <c r="O60" s="67"/>
      <c r="P60" s="67"/>
      <c r="Q60" s="67"/>
      <c r="R60" s="67"/>
      <c r="S60" s="67"/>
      <c r="T60" s="67"/>
      <c r="U60" s="67"/>
      <c r="V60" s="67"/>
      <c r="W60" s="67"/>
    </row>
    <row r="61" spans="1:23" ht="11.25" customHeight="1" x14ac:dyDescent="0.25">
      <c r="A61" s="1028" t="str">
        <f>'[4]Org structure'!E58</f>
        <v>6.1 - ELECTRICITY</v>
      </c>
      <c r="B61" s="905"/>
      <c r="C61" s="1454">
        <v>32952161.720000003</v>
      </c>
      <c r="D61" s="1454">
        <v>40676506.450000003</v>
      </c>
      <c r="E61" s="2103">
        <v>39268658</v>
      </c>
      <c r="F61" s="2104">
        <v>52440969.75</v>
      </c>
      <c r="G61" s="1454">
        <v>52465969.75</v>
      </c>
      <c r="H61" s="1454">
        <v>52465969.75</v>
      </c>
      <c r="I61" s="2105">
        <v>56589794.969999999</v>
      </c>
      <c r="J61" s="1454">
        <v>59985182.670000002</v>
      </c>
      <c r="K61" s="2103">
        <v>63584293.630000003</v>
      </c>
      <c r="L61" s="66"/>
      <c r="M61" s="67"/>
      <c r="N61" s="67"/>
      <c r="O61" s="67"/>
      <c r="P61" s="67"/>
      <c r="Q61" s="67"/>
      <c r="R61" s="67"/>
      <c r="S61" s="67"/>
      <c r="T61" s="67"/>
      <c r="U61" s="67"/>
      <c r="V61" s="67"/>
      <c r="W61" s="67"/>
    </row>
    <row r="62" spans="1:23" ht="11.25" customHeight="1" x14ac:dyDescent="0.25">
      <c r="A62" s="1028" t="str">
        <f>'[4]Org structure'!E59</f>
        <v>6.2 - WATER SERVICES</v>
      </c>
      <c r="B62" s="905"/>
      <c r="C62" s="1454">
        <v>1338775.43</v>
      </c>
      <c r="D62" s="1454">
        <v>0</v>
      </c>
      <c r="E62" s="2103"/>
      <c r="F62" s="2104"/>
      <c r="G62" s="1454"/>
      <c r="H62" s="1455"/>
      <c r="I62" s="2105"/>
      <c r="J62" s="1454"/>
      <c r="K62" s="2103"/>
      <c r="L62" s="66"/>
      <c r="M62" s="67"/>
      <c r="N62" s="67"/>
      <c r="O62" s="67"/>
      <c r="P62" s="67"/>
      <c r="Q62" s="67"/>
      <c r="R62" s="67"/>
      <c r="S62" s="67"/>
      <c r="T62" s="67"/>
      <c r="U62" s="67"/>
      <c r="V62" s="67"/>
      <c r="W62" s="67"/>
    </row>
    <row r="63" spans="1:23" ht="11.25" customHeight="1" x14ac:dyDescent="0.25">
      <c r="A63" s="1028" t="str">
        <f>'[4]Org structure'!E60</f>
        <v>6.3 - TECHNICAL SERVICES MANAGEMENT</v>
      </c>
      <c r="B63" s="905"/>
      <c r="C63" s="1454">
        <v>27606237.710000001</v>
      </c>
      <c r="D63" s="1454">
        <v>15991968.23</v>
      </c>
      <c r="E63" s="2103"/>
      <c r="F63" s="2104">
        <v>32405000</v>
      </c>
      <c r="G63" s="1454">
        <v>35416882</v>
      </c>
      <c r="H63" s="1455">
        <v>35416882</v>
      </c>
      <c r="I63" s="2105">
        <v>31917000</v>
      </c>
      <c r="J63" s="1454">
        <v>34179000</v>
      </c>
      <c r="K63" s="2103">
        <v>36987000</v>
      </c>
      <c r="L63" s="66"/>
      <c r="M63" s="67"/>
      <c r="N63" s="67"/>
      <c r="O63" s="67"/>
      <c r="P63" s="67"/>
      <c r="Q63" s="67"/>
      <c r="R63" s="67"/>
      <c r="S63" s="67"/>
      <c r="T63" s="67"/>
      <c r="U63" s="67"/>
      <c r="V63" s="67"/>
      <c r="W63" s="67"/>
    </row>
    <row r="64" spans="1:23" ht="11.25" customHeight="1" x14ac:dyDescent="0.25">
      <c r="A64" s="1028" t="str">
        <f>'[4]Org structure'!E61</f>
        <v>6.4 - HOUSING &amp; BUILDING CONTROL</v>
      </c>
      <c r="B64" s="905"/>
      <c r="C64" s="1454">
        <v>479557.31900000002</v>
      </c>
      <c r="D64" s="1454">
        <v>0</v>
      </c>
      <c r="E64" s="2103"/>
      <c r="F64" s="2104">
        <v>249909.42</v>
      </c>
      <c r="G64" s="2104">
        <v>249909.42</v>
      </c>
      <c r="H64" s="2104">
        <v>249909.42</v>
      </c>
      <c r="I64" s="2105">
        <v>264903.99</v>
      </c>
      <c r="J64" s="1454">
        <v>280798.21999999997</v>
      </c>
      <c r="K64" s="2103">
        <v>297646.12</v>
      </c>
      <c r="L64" s="66"/>
      <c r="M64" s="67"/>
      <c r="N64" s="67"/>
      <c r="O64" s="67"/>
      <c r="P64" s="67"/>
      <c r="Q64" s="67"/>
      <c r="R64" s="67"/>
      <c r="S64" s="67"/>
      <c r="T64" s="67"/>
      <c r="U64" s="67"/>
      <c r="V64" s="67"/>
      <c r="W64" s="67"/>
    </row>
    <row r="65" spans="1:23" ht="11.25" customHeight="1" x14ac:dyDescent="0.25">
      <c r="A65" s="1028" t="str">
        <f>'[4]Org structure'!E62</f>
        <v>6.5 - ROADS &amp; STORMWATER</v>
      </c>
      <c r="B65" s="905"/>
      <c r="C65" s="1454">
        <v>0</v>
      </c>
      <c r="D65" s="1454">
        <v>0</v>
      </c>
      <c r="E65" s="2103">
        <v>31583815</v>
      </c>
      <c r="F65" s="2104"/>
      <c r="G65" s="1454"/>
      <c r="H65" s="1455"/>
      <c r="I65" s="2105"/>
      <c r="J65" s="1454"/>
      <c r="K65" s="2103"/>
      <c r="L65" s="66"/>
      <c r="M65" s="67"/>
      <c r="N65" s="67"/>
      <c r="O65" s="67"/>
      <c r="P65" s="67"/>
      <c r="Q65" s="67"/>
      <c r="R65" s="67"/>
      <c r="S65" s="67"/>
      <c r="T65" s="67"/>
      <c r="U65" s="67"/>
      <c r="V65" s="67"/>
      <c r="W65" s="67"/>
    </row>
    <row r="66" spans="1:23" ht="11.25" customHeight="1" x14ac:dyDescent="0.25">
      <c r="A66" s="1028" t="str">
        <f>'[4]Org structure'!E63</f>
        <v>6.6 - FLEET MANAGEMENT</v>
      </c>
      <c r="B66" s="905"/>
      <c r="C66" s="1454"/>
      <c r="D66" s="1454"/>
      <c r="E66" s="2103"/>
      <c r="F66" s="2104"/>
      <c r="G66" s="1454"/>
      <c r="H66" s="1455"/>
      <c r="I66" s="2105"/>
      <c r="J66" s="1454"/>
      <c r="K66" s="2103"/>
      <c r="L66" s="66"/>
      <c r="M66" s="67"/>
      <c r="N66" s="67"/>
      <c r="O66" s="67"/>
      <c r="P66" s="67"/>
      <c r="Q66" s="67"/>
      <c r="R66" s="67"/>
      <c r="S66" s="67"/>
      <c r="T66" s="67"/>
      <c r="U66" s="67"/>
      <c r="V66" s="67"/>
      <c r="W66" s="67"/>
    </row>
    <row r="67" spans="1:23" ht="11.25" customHeight="1" x14ac:dyDescent="0.25">
      <c r="A67" s="1028" t="str">
        <f>'[4]Org structure'!E64</f>
        <v>6.7 - SEWERAGE NETWORK</v>
      </c>
      <c r="B67" s="905"/>
      <c r="C67" s="1454">
        <v>657564.24</v>
      </c>
      <c r="D67" s="1454">
        <v>0</v>
      </c>
      <c r="E67" s="2103"/>
      <c r="F67" s="2104"/>
      <c r="G67" s="1454"/>
      <c r="H67" s="1455"/>
      <c r="I67" s="2105"/>
      <c r="J67" s="1454"/>
      <c r="K67" s="2103"/>
      <c r="L67" s="66"/>
      <c r="M67" s="67"/>
      <c r="N67" s="67"/>
      <c r="O67" s="67"/>
      <c r="P67" s="67"/>
      <c r="Q67" s="67"/>
      <c r="R67" s="67"/>
      <c r="S67" s="67"/>
      <c r="T67" s="67"/>
      <c r="U67" s="67"/>
      <c r="V67" s="67"/>
      <c r="W67" s="67"/>
    </row>
    <row r="68" spans="1:23" ht="15" customHeight="1" x14ac:dyDescent="0.25">
      <c r="A68" s="1027" t="str">
        <f>'[4]Org structure'!A8</f>
        <v xml:space="preserve">Vote 7 - </v>
      </c>
      <c r="B68" s="917"/>
      <c r="C68" s="849">
        <f t="shared" ref="C68:K68" si="6">SUM(C69:C75)</f>
        <v>0</v>
      </c>
      <c r="D68" s="849">
        <f t="shared" si="6"/>
        <v>0</v>
      </c>
      <c r="E68" s="850">
        <f t="shared" si="6"/>
        <v>330393</v>
      </c>
      <c r="F68" s="851">
        <f t="shared" si="6"/>
        <v>0</v>
      </c>
      <c r="G68" s="849">
        <f t="shared" si="6"/>
        <v>0</v>
      </c>
      <c r="H68" s="852">
        <f t="shared" si="6"/>
        <v>0</v>
      </c>
      <c r="I68" s="853">
        <f t="shared" si="6"/>
        <v>0</v>
      </c>
      <c r="J68" s="849">
        <f t="shared" si="6"/>
        <v>0</v>
      </c>
      <c r="K68" s="850">
        <f t="shared" si="6"/>
        <v>0</v>
      </c>
      <c r="L68" s="66"/>
      <c r="M68" s="67"/>
      <c r="N68" s="67"/>
      <c r="O68" s="67"/>
      <c r="P68" s="67"/>
      <c r="Q68" s="67"/>
      <c r="R68" s="67"/>
      <c r="S68" s="67"/>
      <c r="T68" s="67"/>
      <c r="U68" s="67"/>
      <c r="V68" s="67"/>
      <c r="W68" s="67"/>
    </row>
    <row r="69" spans="1:23" ht="11.25" customHeight="1" x14ac:dyDescent="0.25">
      <c r="A69" s="1028" t="str">
        <f>'[4]Org structure'!E69</f>
        <v>7.5 - HOUSING &amp; BUILDING CONTROL</v>
      </c>
      <c r="B69" s="905"/>
      <c r="C69" s="1454"/>
      <c r="D69" s="1454"/>
      <c r="E69" s="2103"/>
      <c r="F69" s="2104"/>
      <c r="G69" s="1454"/>
      <c r="H69" s="1455"/>
      <c r="I69" s="2105"/>
      <c r="J69" s="1454"/>
      <c r="K69" s="2103"/>
      <c r="L69" s="66"/>
      <c r="M69" s="67"/>
      <c r="N69" s="67"/>
      <c r="O69" s="67"/>
      <c r="P69" s="67"/>
      <c r="Q69" s="67"/>
      <c r="R69" s="67"/>
      <c r="S69" s="67"/>
      <c r="T69" s="67"/>
      <c r="U69" s="67"/>
      <c r="V69" s="67"/>
      <c r="W69" s="67"/>
    </row>
    <row r="70" spans="1:23" ht="11.25" customHeight="1" x14ac:dyDescent="0.25">
      <c r="A70" s="1028" t="str">
        <f>'[4]Org structure'!E70</f>
        <v>HOUSING &amp; BUILDING CONTROL</v>
      </c>
      <c r="B70" s="905"/>
      <c r="C70" s="1454"/>
      <c r="D70" s="1454"/>
      <c r="E70" s="2103">
        <v>330393</v>
      </c>
      <c r="F70" s="2104"/>
      <c r="G70" s="1454"/>
      <c r="H70" s="1455"/>
      <c r="I70" s="2105"/>
      <c r="J70" s="1454"/>
      <c r="K70" s="2103"/>
      <c r="L70" s="66"/>
      <c r="M70" s="67"/>
      <c r="N70" s="67"/>
      <c r="O70" s="67"/>
      <c r="P70" s="67"/>
      <c r="Q70" s="67"/>
      <c r="R70" s="67"/>
      <c r="S70" s="67"/>
      <c r="T70" s="67"/>
      <c r="U70" s="67"/>
      <c r="V70" s="67"/>
      <c r="W70" s="67"/>
    </row>
    <row r="71" spans="1:23" ht="11.25" customHeight="1" x14ac:dyDescent="0.25">
      <c r="A71" s="1028">
        <f>'[4]Org structure'!E71</f>
        <v>0</v>
      </c>
      <c r="B71" s="905"/>
      <c r="C71" s="1454"/>
      <c r="D71" s="1454"/>
      <c r="E71" s="2103"/>
      <c r="F71" s="2104"/>
      <c r="G71" s="1454"/>
      <c r="H71" s="1455"/>
      <c r="I71" s="2105"/>
      <c r="J71" s="1454"/>
      <c r="K71" s="2103"/>
      <c r="L71" s="66"/>
      <c r="M71" s="67"/>
      <c r="N71" s="67"/>
      <c r="O71" s="67"/>
      <c r="P71" s="67"/>
      <c r="Q71" s="67"/>
      <c r="R71" s="67"/>
      <c r="S71" s="67"/>
      <c r="T71" s="67"/>
      <c r="U71" s="67"/>
      <c r="V71" s="67"/>
      <c r="W71" s="67"/>
    </row>
    <row r="72" spans="1:23" ht="11.25" customHeight="1" x14ac:dyDescent="0.25">
      <c r="A72" s="1028">
        <f>'[4]Org structure'!E72</f>
        <v>0</v>
      </c>
      <c r="B72" s="905"/>
      <c r="C72" s="1454"/>
      <c r="D72" s="1454"/>
      <c r="E72" s="2103"/>
      <c r="F72" s="2104"/>
      <c r="G72" s="1454"/>
      <c r="H72" s="1455"/>
      <c r="I72" s="2105"/>
      <c r="J72" s="1454"/>
      <c r="K72" s="2103"/>
      <c r="L72" s="73"/>
      <c r="M72" s="74"/>
      <c r="N72" s="74"/>
      <c r="O72" s="74"/>
      <c r="P72" s="74"/>
      <c r="Q72" s="74"/>
      <c r="R72" s="74"/>
      <c r="S72" s="74"/>
      <c r="T72" s="74"/>
      <c r="U72" s="74"/>
      <c r="V72" s="74"/>
      <c r="W72" s="74"/>
    </row>
    <row r="73" spans="1:23" ht="11.25" customHeight="1" x14ac:dyDescent="0.25">
      <c r="A73" s="1028">
        <f>'[4]Org structure'!E73</f>
        <v>0</v>
      </c>
      <c r="B73" s="905"/>
      <c r="C73" s="1454"/>
      <c r="D73" s="1454"/>
      <c r="E73" s="2103"/>
      <c r="F73" s="2104"/>
      <c r="G73" s="1454"/>
      <c r="H73" s="1455"/>
      <c r="I73" s="2105"/>
      <c r="J73" s="1454"/>
      <c r="K73" s="2103"/>
      <c r="L73" s="73"/>
      <c r="M73" s="74"/>
      <c r="N73" s="74"/>
      <c r="O73" s="74"/>
      <c r="P73" s="74"/>
      <c r="Q73" s="74"/>
      <c r="R73" s="74"/>
      <c r="S73" s="74"/>
      <c r="T73" s="74"/>
      <c r="U73" s="74"/>
      <c r="V73" s="74"/>
      <c r="W73" s="74"/>
    </row>
    <row r="74" spans="1:23" ht="11.25" customHeight="1" x14ac:dyDescent="0.25">
      <c r="A74" s="1028">
        <f>'[4]Org structure'!E74</f>
        <v>0</v>
      </c>
      <c r="B74" s="905"/>
      <c r="C74" s="1454"/>
      <c r="D74" s="1454"/>
      <c r="E74" s="2103"/>
      <c r="F74" s="2104"/>
      <c r="G74" s="1454"/>
      <c r="H74" s="1455"/>
      <c r="I74" s="2105"/>
      <c r="J74" s="1454"/>
      <c r="K74" s="2103"/>
      <c r="L74" s="73"/>
      <c r="M74" s="74"/>
      <c r="N74" s="74"/>
      <c r="O74" s="74"/>
      <c r="P74" s="74"/>
      <c r="Q74" s="74"/>
      <c r="R74" s="74"/>
      <c r="S74" s="74"/>
      <c r="T74" s="74"/>
      <c r="U74" s="74"/>
      <c r="V74" s="74"/>
      <c r="W74" s="74"/>
    </row>
    <row r="75" spans="1:23" ht="11.25" customHeight="1" x14ac:dyDescent="0.25">
      <c r="A75" s="1028">
        <f>'[4]Org structure'!E75</f>
        <v>0</v>
      </c>
      <c r="B75" s="905"/>
      <c r="C75" s="1454"/>
      <c r="D75" s="1454"/>
      <c r="E75" s="2103"/>
      <c r="F75" s="2104"/>
      <c r="G75" s="1454"/>
      <c r="H75" s="1455"/>
      <c r="I75" s="2105"/>
      <c r="J75" s="1454"/>
      <c r="K75" s="2103"/>
      <c r="L75" s="73"/>
      <c r="M75" s="74"/>
      <c r="N75" s="74"/>
      <c r="O75" s="74"/>
      <c r="P75" s="74"/>
      <c r="Q75" s="74"/>
      <c r="R75" s="74"/>
      <c r="S75" s="74"/>
      <c r="T75" s="74"/>
      <c r="U75" s="74"/>
      <c r="V75" s="74"/>
      <c r="W75" s="74"/>
    </row>
    <row r="76" spans="1:23" ht="15" customHeight="1" x14ac:dyDescent="0.25">
      <c r="A76" s="1027" t="str">
        <f>'[4]Org structure'!A9</f>
        <v>Vote 8 - [NAME OF VOTE 8]</v>
      </c>
      <c r="B76" s="905"/>
      <c r="C76" s="849">
        <f>SUM(C77:C86)</f>
        <v>0</v>
      </c>
      <c r="D76" s="849">
        <f t="shared" ref="D76:K76" si="7">SUM(D77:D86)</f>
        <v>0</v>
      </c>
      <c r="E76" s="850">
        <f t="shared" si="7"/>
        <v>0</v>
      </c>
      <c r="F76" s="851">
        <f t="shared" si="7"/>
        <v>0</v>
      </c>
      <c r="G76" s="849">
        <f t="shared" si="7"/>
        <v>0</v>
      </c>
      <c r="H76" s="852">
        <f t="shared" si="7"/>
        <v>0</v>
      </c>
      <c r="I76" s="853">
        <f t="shared" si="7"/>
        <v>0</v>
      </c>
      <c r="J76" s="849">
        <f t="shared" si="7"/>
        <v>0</v>
      </c>
      <c r="K76" s="850">
        <f t="shared" si="7"/>
        <v>0</v>
      </c>
      <c r="L76" s="73"/>
      <c r="M76" s="74"/>
      <c r="N76" s="74"/>
      <c r="O76" s="74"/>
      <c r="P76" s="74"/>
      <c r="Q76" s="74"/>
      <c r="R76" s="74"/>
      <c r="S76" s="74"/>
      <c r="T76" s="74"/>
      <c r="U76" s="74"/>
      <c r="V76" s="74"/>
      <c r="W76" s="74"/>
    </row>
    <row r="77" spans="1:23" ht="11.25" customHeight="1" x14ac:dyDescent="0.25">
      <c r="A77" s="1028" t="str">
        <f>'[4]Org structure'!E77</f>
        <v>8.1 - [Name of sub-vote]</v>
      </c>
      <c r="B77" s="905"/>
      <c r="C77" s="1454"/>
      <c r="D77" s="1454"/>
      <c r="E77" s="2103"/>
      <c r="F77" s="2104"/>
      <c r="G77" s="1454"/>
      <c r="H77" s="1455"/>
      <c r="I77" s="2105"/>
      <c r="J77" s="1454"/>
      <c r="K77" s="2103"/>
      <c r="L77" s="73"/>
      <c r="M77" s="74"/>
      <c r="N77" s="74"/>
      <c r="O77" s="74"/>
      <c r="P77" s="74"/>
      <c r="Q77" s="74"/>
      <c r="R77" s="74"/>
      <c r="S77" s="74"/>
      <c r="T77" s="74"/>
      <c r="U77" s="74"/>
      <c r="V77" s="74"/>
      <c r="W77" s="74"/>
    </row>
    <row r="78" spans="1:23" ht="11.25" customHeight="1" x14ac:dyDescent="0.25">
      <c r="A78" s="1028">
        <f>'[4]Org structure'!E78</f>
        <v>0</v>
      </c>
      <c r="B78" s="905"/>
      <c r="C78" s="1454"/>
      <c r="D78" s="1454"/>
      <c r="E78" s="2103"/>
      <c r="F78" s="2104"/>
      <c r="G78" s="1454"/>
      <c r="H78" s="1455"/>
      <c r="I78" s="2105"/>
      <c r="J78" s="1454"/>
      <c r="K78" s="2103"/>
      <c r="L78" s="73"/>
      <c r="M78" s="74"/>
      <c r="N78" s="74"/>
      <c r="O78" s="74"/>
      <c r="P78" s="74"/>
      <c r="Q78" s="74"/>
      <c r="R78" s="74"/>
      <c r="S78" s="74"/>
      <c r="T78" s="74"/>
      <c r="U78" s="74"/>
      <c r="V78" s="74"/>
      <c r="W78" s="74"/>
    </row>
    <row r="79" spans="1:23" ht="11.25" customHeight="1" x14ac:dyDescent="0.25">
      <c r="A79" s="1028">
        <f>'[4]Org structure'!E79</f>
        <v>0</v>
      </c>
      <c r="B79" s="905"/>
      <c r="C79" s="1454"/>
      <c r="D79" s="1454"/>
      <c r="E79" s="2103"/>
      <c r="F79" s="2104"/>
      <c r="G79" s="1454"/>
      <c r="H79" s="1455"/>
      <c r="I79" s="2105"/>
      <c r="J79" s="1454"/>
      <c r="K79" s="2103"/>
      <c r="L79" s="73"/>
      <c r="M79" s="74"/>
      <c r="N79" s="74"/>
      <c r="O79" s="74"/>
      <c r="P79" s="74"/>
      <c r="Q79" s="74"/>
      <c r="R79" s="74"/>
      <c r="S79" s="74"/>
      <c r="T79" s="74"/>
      <c r="U79" s="74"/>
      <c r="V79" s="74"/>
      <c r="W79" s="74"/>
    </row>
    <row r="80" spans="1:23" ht="11.25" customHeight="1" x14ac:dyDescent="0.25">
      <c r="A80" s="1028">
        <f>'[4]Org structure'!E80</f>
        <v>0</v>
      </c>
      <c r="B80" s="905"/>
      <c r="C80" s="1454"/>
      <c r="D80" s="1454"/>
      <c r="E80" s="2103"/>
      <c r="F80" s="2104"/>
      <c r="G80" s="1454"/>
      <c r="H80" s="1455"/>
      <c r="I80" s="2105"/>
      <c r="J80" s="1454"/>
      <c r="K80" s="2103"/>
      <c r="L80" s="73"/>
      <c r="M80" s="74"/>
      <c r="N80" s="74"/>
      <c r="O80" s="74"/>
      <c r="P80" s="74"/>
      <c r="Q80" s="74"/>
      <c r="R80" s="74"/>
      <c r="S80" s="74"/>
      <c r="T80" s="74"/>
      <c r="U80" s="74"/>
      <c r="V80" s="74"/>
      <c r="W80" s="74"/>
    </row>
    <row r="81" spans="1:23" ht="11.25" customHeight="1" x14ac:dyDescent="0.25">
      <c r="A81" s="1028">
        <f>'[4]Org structure'!E81</f>
        <v>0</v>
      </c>
      <c r="B81" s="905"/>
      <c r="C81" s="1454"/>
      <c r="D81" s="1454"/>
      <c r="E81" s="2103"/>
      <c r="F81" s="2104"/>
      <c r="G81" s="1454"/>
      <c r="H81" s="1455"/>
      <c r="I81" s="2105"/>
      <c r="J81" s="1454"/>
      <c r="K81" s="2103"/>
      <c r="L81" s="73"/>
      <c r="M81" s="74"/>
      <c r="N81" s="74"/>
      <c r="O81" s="74"/>
      <c r="P81" s="74"/>
      <c r="Q81" s="74"/>
      <c r="R81" s="74"/>
      <c r="S81" s="74"/>
      <c r="T81" s="74"/>
      <c r="U81" s="74"/>
      <c r="V81" s="74"/>
      <c r="W81" s="74"/>
    </row>
    <row r="82" spans="1:23" ht="11.25" customHeight="1" x14ac:dyDescent="0.25">
      <c r="A82" s="1028">
        <f>'[4]Org structure'!E82</f>
        <v>0</v>
      </c>
      <c r="B82" s="905"/>
      <c r="C82" s="1454"/>
      <c r="D82" s="1454"/>
      <c r="E82" s="2103"/>
      <c r="F82" s="2104"/>
      <c r="G82" s="1454"/>
      <c r="H82" s="1455"/>
      <c r="I82" s="2105"/>
      <c r="J82" s="1454"/>
      <c r="K82" s="2103"/>
      <c r="L82" s="73"/>
      <c r="M82" s="74"/>
      <c r="N82" s="74"/>
      <c r="O82" s="74"/>
      <c r="P82" s="74"/>
      <c r="Q82" s="74"/>
      <c r="R82" s="74"/>
      <c r="S82" s="74"/>
      <c r="T82" s="74"/>
      <c r="U82" s="74"/>
      <c r="V82" s="74"/>
      <c r="W82" s="74"/>
    </row>
    <row r="83" spans="1:23" ht="11.25" customHeight="1" x14ac:dyDescent="0.25">
      <c r="A83" s="1028">
        <f>'[4]Org structure'!E83</f>
        <v>0</v>
      </c>
      <c r="B83" s="905"/>
      <c r="C83" s="1454"/>
      <c r="D83" s="1454"/>
      <c r="E83" s="2103"/>
      <c r="F83" s="2104"/>
      <c r="G83" s="1454"/>
      <c r="H83" s="1455"/>
      <c r="I83" s="2105"/>
      <c r="J83" s="1454"/>
      <c r="K83" s="2103"/>
      <c r="L83" s="73"/>
      <c r="M83" s="74"/>
      <c r="N83" s="74"/>
      <c r="O83" s="74"/>
      <c r="P83" s="74"/>
      <c r="Q83" s="74"/>
      <c r="R83" s="74"/>
      <c r="S83" s="74"/>
      <c r="T83" s="74"/>
      <c r="U83" s="74"/>
      <c r="V83" s="74"/>
      <c r="W83" s="74"/>
    </row>
    <row r="84" spans="1:23" ht="11.25" customHeight="1" x14ac:dyDescent="0.25">
      <c r="A84" s="1028">
        <f>'[4]Org structure'!E84</f>
        <v>0</v>
      </c>
      <c r="B84" s="905"/>
      <c r="C84" s="1454"/>
      <c r="D84" s="1454"/>
      <c r="E84" s="2103"/>
      <c r="F84" s="2104"/>
      <c r="G84" s="1454"/>
      <c r="H84" s="1455"/>
      <c r="I84" s="2105"/>
      <c r="J84" s="1454"/>
      <c r="K84" s="2103"/>
      <c r="L84" s="73"/>
      <c r="M84" s="74"/>
      <c r="N84" s="74"/>
      <c r="O84" s="74"/>
      <c r="P84" s="74"/>
      <c r="Q84" s="74"/>
      <c r="R84" s="74"/>
      <c r="S84" s="74"/>
      <c r="T84" s="74"/>
      <c r="U84" s="74"/>
      <c r="V84" s="74"/>
      <c r="W84" s="74"/>
    </row>
    <row r="85" spans="1:23" ht="11.25" customHeight="1" x14ac:dyDescent="0.25">
      <c r="A85" s="1028">
        <f>'[4]Org structure'!E85</f>
        <v>0</v>
      </c>
      <c r="B85" s="905"/>
      <c r="C85" s="1454"/>
      <c r="D85" s="1454"/>
      <c r="E85" s="2103"/>
      <c r="F85" s="2104"/>
      <c r="G85" s="1454"/>
      <c r="H85" s="1455"/>
      <c r="I85" s="2105"/>
      <c r="J85" s="1454"/>
      <c r="K85" s="2103"/>
      <c r="L85" s="73"/>
      <c r="M85" s="74"/>
      <c r="N85" s="74"/>
      <c r="O85" s="74"/>
      <c r="P85" s="74"/>
      <c r="Q85" s="74"/>
      <c r="R85" s="74"/>
      <c r="S85" s="74"/>
      <c r="T85" s="74"/>
      <c r="U85" s="74"/>
      <c r="V85" s="74"/>
      <c r="W85" s="74"/>
    </row>
    <row r="86" spans="1:23" ht="11.25" customHeight="1" x14ac:dyDescent="0.25">
      <c r="A86" s="1028">
        <f>'[4]Org structure'!E86</f>
        <v>0</v>
      </c>
      <c r="B86" s="905"/>
      <c r="C86" s="1454"/>
      <c r="D86" s="1454"/>
      <c r="E86" s="2103"/>
      <c r="F86" s="2104"/>
      <c r="G86" s="1454"/>
      <c r="H86" s="1455"/>
      <c r="I86" s="2105"/>
      <c r="J86" s="1454"/>
      <c r="K86" s="2103"/>
      <c r="L86" s="73"/>
      <c r="M86" s="74"/>
      <c r="N86" s="74"/>
      <c r="O86" s="74"/>
      <c r="P86" s="74"/>
      <c r="Q86" s="74"/>
      <c r="R86" s="74"/>
      <c r="S86" s="74"/>
      <c r="T86" s="74"/>
      <c r="U86" s="74"/>
      <c r="V86" s="74"/>
      <c r="W86" s="74"/>
    </row>
    <row r="87" spans="1:23" ht="15" customHeight="1" x14ac:dyDescent="0.25">
      <c r="A87" s="1027" t="str">
        <f>'[4]Org structure'!A10</f>
        <v>Vote 9 - [NAME OF VOTE 9]</v>
      </c>
      <c r="B87" s="905"/>
      <c r="C87" s="849">
        <f>SUM(C88:C97)</f>
        <v>0</v>
      </c>
      <c r="D87" s="849">
        <f t="shared" ref="D87:K87" si="8">SUM(D88:D97)</f>
        <v>0</v>
      </c>
      <c r="E87" s="850">
        <f t="shared" si="8"/>
        <v>0</v>
      </c>
      <c r="F87" s="851">
        <f t="shared" si="8"/>
        <v>0</v>
      </c>
      <c r="G87" s="849">
        <f t="shared" si="8"/>
        <v>0</v>
      </c>
      <c r="H87" s="852">
        <f t="shared" si="8"/>
        <v>0</v>
      </c>
      <c r="I87" s="853">
        <f t="shared" si="8"/>
        <v>0</v>
      </c>
      <c r="J87" s="849">
        <f t="shared" si="8"/>
        <v>0</v>
      </c>
      <c r="K87" s="850">
        <f t="shared" si="8"/>
        <v>0</v>
      </c>
      <c r="L87" s="73"/>
      <c r="M87" s="74"/>
      <c r="N87" s="74"/>
      <c r="O87" s="74"/>
      <c r="P87" s="74"/>
      <c r="Q87" s="74"/>
      <c r="R87" s="74"/>
      <c r="S87" s="74"/>
      <c r="T87" s="74"/>
      <c r="U87" s="74"/>
      <c r="V87" s="74"/>
      <c r="W87" s="74"/>
    </row>
    <row r="88" spans="1:23" ht="11.25" customHeight="1" x14ac:dyDescent="0.25">
      <c r="A88" s="1028" t="str">
        <f>'[4]Org structure'!E88</f>
        <v>9.1 - [Name of sub-vote]</v>
      </c>
      <c r="B88" s="905"/>
      <c r="C88" s="1454"/>
      <c r="D88" s="1454"/>
      <c r="E88" s="2103"/>
      <c r="F88" s="2104"/>
      <c r="G88" s="1454"/>
      <c r="H88" s="1455"/>
      <c r="I88" s="2105"/>
      <c r="J88" s="1454"/>
      <c r="K88" s="2103"/>
      <c r="L88" s="73"/>
      <c r="M88" s="74"/>
      <c r="N88" s="74"/>
      <c r="O88" s="74"/>
      <c r="P88" s="74"/>
      <c r="Q88" s="74"/>
      <c r="R88" s="74"/>
      <c r="S88" s="74"/>
      <c r="T88" s="74"/>
      <c r="U88" s="74"/>
      <c r="V88" s="74"/>
      <c r="W88" s="74"/>
    </row>
    <row r="89" spans="1:23" ht="11.25" customHeight="1" x14ac:dyDescent="0.25">
      <c r="A89" s="1028">
        <f>'[4]Org structure'!E89</f>
        <v>0</v>
      </c>
      <c r="B89" s="905"/>
      <c r="C89" s="1454"/>
      <c r="D89" s="1454"/>
      <c r="E89" s="2103"/>
      <c r="F89" s="2104"/>
      <c r="G89" s="1454"/>
      <c r="H89" s="1455"/>
      <c r="I89" s="2105"/>
      <c r="J89" s="1454"/>
      <c r="K89" s="2103"/>
      <c r="L89" s="73"/>
      <c r="M89" s="74"/>
      <c r="N89" s="74"/>
      <c r="O89" s="74"/>
      <c r="P89" s="74"/>
      <c r="Q89" s="74"/>
      <c r="R89" s="74"/>
      <c r="S89" s="74"/>
      <c r="T89" s="74"/>
      <c r="U89" s="74"/>
      <c r="V89" s="74"/>
      <c r="W89" s="74"/>
    </row>
    <row r="90" spans="1:23" ht="11.25" customHeight="1" x14ac:dyDescent="0.25">
      <c r="A90" s="1028">
        <f>'[4]Org structure'!E90</f>
        <v>0</v>
      </c>
      <c r="B90" s="905"/>
      <c r="C90" s="1454"/>
      <c r="D90" s="1454"/>
      <c r="E90" s="2103"/>
      <c r="F90" s="2104"/>
      <c r="G90" s="1454"/>
      <c r="H90" s="1455"/>
      <c r="I90" s="2105"/>
      <c r="J90" s="1454"/>
      <c r="K90" s="2103"/>
      <c r="L90" s="73"/>
      <c r="M90" s="74"/>
      <c r="N90" s="74"/>
      <c r="O90" s="74"/>
      <c r="P90" s="74"/>
      <c r="Q90" s="74"/>
      <c r="R90" s="74"/>
      <c r="S90" s="74"/>
      <c r="T90" s="74"/>
      <c r="U90" s="74"/>
      <c r="V90" s="74"/>
      <c r="W90" s="74"/>
    </row>
    <row r="91" spans="1:23" ht="11.25" customHeight="1" x14ac:dyDescent="0.25">
      <c r="A91" s="1028">
        <f>'[4]Org structure'!E91</f>
        <v>0</v>
      </c>
      <c r="B91" s="905"/>
      <c r="C91" s="1454"/>
      <c r="D91" s="1454"/>
      <c r="E91" s="2103"/>
      <c r="F91" s="2104"/>
      <c r="G91" s="1454"/>
      <c r="H91" s="1455"/>
      <c r="I91" s="2105"/>
      <c r="J91" s="1454"/>
      <c r="K91" s="2103"/>
      <c r="L91" s="73"/>
      <c r="M91" s="74"/>
      <c r="N91" s="74"/>
      <c r="O91" s="74"/>
      <c r="P91" s="74"/>
      <c r="Q91" s="74"/>
      <c r="R91" s="74"/>
      <c r="S91" s="74"/>
      <c r="T91" s="74"/>
      <c r="U91" s="74"/>
      <c r="V91" s="74"/>
      <c r="W91" s="74"/>
    </row>
    <row r="92" spans="1:23" ht="11.25" customHeight="1" x14ac:dyDescent="0.25">
      <c r="A92" s="1028">
        <f>'[4]Org structure'!E92</f>
        <v>0</v>
      </c>
      <c r="B92" s="905"/>
      <c r="C92" s="1454"/>
      <c r="D92" s="1454"/>
      <c r="E92" s="2103"/>
      <c r="F92" s="2104"/>
      <c r="G92" s="1454"/>
      <c r="H92" s="1455"/>
      <c r="I92" s="2105"/>
      <c r="J92" s="1454"/>
      <c r="K92" s="2103"/>
      <c r="L92" s="73"/>
      <c r="M92" s="74"/>
      <c r="N92" s="74"/>
      <c r="O92" s="74"/>
      <c r="P92" s="74"/>
      <c r="Q92" s="74"/>
      <c r="R92" s="74"/>
      <c r="S92" s="74"/>
      <c r="T92" s="74"/>
      <c r="U92" s="74"/>
      <c r="V92" s="74"/>
      <c r="W92" s="74"/>
    </row>
    <row r="93" spans="1:23" ht="11.25" customHeight="1" x14ac:dyDescent="0.25">
      <c r="A93" s="1028">
        <f>'[4]Org structure'!E93</f>
        <v>0</v>
      </c>
      <c r="B93" s="905"/>
      <c r="C93" s="1454"/>
      <c r="D93" s="1454"/>
      <c r="E93" s="2103"/>
      <c r="F93" s="2104"/>
      <c r="G93" s="1454"/>
      <c r="H93" s="1455"/>
      <c r="I93" s="2105"/>
      <c r="J93" s="1454"/>
      <c r="K93" s="2103"/>
      <c r="L93" s="73"/>
      <c r="M93" s="74"/>
      <c r="N93" s="74"/>
      <c r="O93" s="74"/>
      <c r="P93" s="74"/>
      <c r="Q93" s="74"/>
      <c r="R93" s="74"/>
      <c r="S93" s="74"/>
      <c r="T93" s="74"/>
      <c r="U93" s="74"/>
      <c r="V93" s="74"/>
      <c r="W93" s="74"/>
    </row>
    <row r="94" spans="1:23" ht="11.25" customHeight="1" x14ac:dyDescent="0.25">
      <c r="A94" s="1028">
        <f>'[4]Org structure'!E94</f>
        <v>0</v>
      </c>
      <c r="B94" s="905"/>
      <c r="C94" s="1454"/>
      <c r="D94" s="1454"/>
      <c r="E94" s="2103"/>
      <c r="F94" s="2104"/>
      <c r="G94" s="1454"/>
      <c r="H94" s="1455"/>
      <c r="I94" s="2105"/>
      <c r="J94" s="1454"/>
      <c r="K94" s="2103"/>
      <c r="L94" s="73"/>
      <c r="M94" s="74"/>
      <c r="N94" s="74"/>
      <c r="O94" s="74"/>
      <c r="P94" s="74"/>
      <c r="Q94" s="74"/>
      <c r="R94" s="74"/>
      <c r="S94" s="74"/>
      <c r="T94" s="74"/>
      <c r="U94" s="74"/>
      <c r="V94" s="74"/>
      <c r="W94" s="74"/>
    </row>
    <row r="95" spans="1:23" ht="11.25" customHeight="1" x14ac:dyDescent="0.25">
      <c r="A95" s="1028">
        <f>'[4]Org structure'!E95</f>
        <v>0</v>
      </c>
      <c r="B95" s="905"/>
      <c r="C95" s="1454"/>
      <c r="D95" s="1454"/>
      <c r="E95" s="2103"/>
      <c r="F95" s="2104"/>
      <c r="G95" s="1454"/>
      <c r="H95" s="1455"/>
      <c r="I95" s="2105"/>
      <c r="J95" s="1454"/>
      <c r="K95" s="2103"/>
      <c r="L95" s="73"/>
      <c r="M95" s="74"/>
      <c r="N95" s="74"/>
      <c r="O95" s="74"/>
      <c r="P95" s="74"/>
      <c r="Q95" s="74"/>
      <c r="R95" s="74"/>
      <c r="S95" s="74"/>
      <c r="T95" s="74"/>
      <c r="U95" s="74"/>
      <c r="V95" s="74"/>
      <c r="W95" s="74"/>
    </row>
    <row r="96" spans="1:23" ht="11.25" customHeight="1" x14ac:dyDescent="0.25">
      <c r="A96" s="1028">
        <f>'[4]Org structure'!E96</f>
        <v>0</v>
      </c>
      <c r="B96" s="905"/>
      <c r="C96" s="1454"/>
      <c r="D96" s="1454"/>
      <c r="E96" s="2103"/>
      <c r="F96" s="2104"/>
      <c r="G96" s="1454"/>
      <c r="H96" s="1455"/>
      <c r="I96" s="2105"/>
      <c r="J96" s="1454"/>
      <c r="K96" s="2103"/>
      <c r="L96" s="73"/>
      <c r="M96" s="74"/>
      <c r="N96" s="74"/>
      <c r="O96" s="74"/>
      <c r="P96" s="74"/>
      <c r="Q96" s="74"/>
      <c r="R96" s="74"/>
      <c r="S96" s="74"/>
      <c r="T96" s="74"/>
      <c r="U96" s="74"/>
      <c r="V96" s="74"/>
      <c r="W96" s="74"/>
    </row>
    <row r="97" spans="1:23" ht="11.25" customHeight="1" x14ac:dyDescent="0.25">
      <c r="A97" s="1028">
        <f>'[4]Org structure'!E97</f>
        <v>0</v>
      </c>
      <c r="B97" s="905"/>
      <c r="C97" s="1454"/>
      <c r="D97" s="1454"/>
      <c r="E97" s="2103"/>
      <c r="F97" s="2104"/>
      <c r="G97" s="1454"/>
      <c r="H97" s="1455"/>
      <c r="I97" s="2105"/>
      <c r="J97" s="1454"/>
      <c r="K97" s="2103"/>
      <c r="L97" s="73"/>
      <c r="M97" s="74"/>
      <c r="N97" s="74"/>
      <c r="O97" s="74"/>
      <c r="P97" s="74"/>
      <c r="Q97" s="74"/>
      <c r="R97" s="74"/>
      <c r="S97" s="74"/>
      <c r="T97" s="74"/>
      <c r="U97" s="74"/>
      <c r="V97" s="74"/>
      <c r="W97" s="74"/>
    </row>
    <row r="98" spans="1:23" ht="15" customHeight="1" x14ac:dyDescent="0.25">
      <c r="A98" s="1027" t="str">
        <f>'[4]Org structure'!A11</f>
        <v>Vote 10 - [NAME OF VOTE 10]</v>
      </c>
      <c r="B98" s="905"/>
      <c r="C98" s="849">
        <f>SUM(C99:C108)</f>
        <v>0</v>
      </c>
      <c r="D98" s="849">
        <f t="shared" ref="D98:K98" si="9">SUM(D99:D108)</f>
        <v>0</v>
      </c>
      <c r="E98" s="850">
        <f t="shared" si="9"/>
        <v>0</v>
      </c>
      <c r="F98" s="851">
        <f t="shared" si="9"/>
        <v>0</v>
      </c>
      <c r="G98" s="849">
        <f t="shared" si="9"/>
        <v>0</v>
      </c>
      <c r="H98" s="852">
        <f t="shared" si="9"/>
        <v>0</v>
      </c>
      <c r="I98" s="853">
        <f t="shared" si="9"/>
        <v>0</v>
      </c>
      <c r="J98" s="849">
        <f t="shared" si="9"/>
        <v>0</v>
      </c>
      <c r="K98" s="850">
        <f t="shared" si="9"/>
        <v>0</v>
      </c>
      <c r="L98" s="73"/>
      <c r="M98" s="74"/>
      <c r="N98" s="74"/>
      <c r="O98" s="74"/>
      <c r="P98" s="74"/>
      <c r="Q98" s="74"/>
      <c r="R98" s="74"/>
      <c r="S98" s="74"/>
      <c r="T98" s="74"/>
      <c r="U98" s="74"/>
      <c r="V98" s="74"/>
      <c r="W98" s="74"/>
    </row>
    <row r="99" spans="1:23" ht="11.25" customHeight="1" x14ac:dyDescent="0.25">
      <c r="A99" s="1028" t="str">
        <f>'[4]Org structure'!E99</f>
        <v>10.1 - [Name of sub-vote]</v>
      </c>
      <c r="B99" s="905"/>
      <c r="C99" s="1454"/>
      <c r="D99" s="1454"/>
      <c r="E99" s="2103"/>
      <c r="F99" s="2104"/>
      <c r="G99" s="1454"/>
      <c r="H99" s="1455"/>
      <c r="I99" s="2105"/>
      <c r="J99" s="1454"/>
      <c r="K99" s="2103"/>
      <c r="L99" s="73"/>
      <c r="M99" s="74"/>
      <c r="N99" s="74"/>
      <c r="O99" s="74"/>
      <c r="P99" s="74"/>
      <c r="Q99" s="74"/>
      <c r="R99" s="74"/>
      <c r="S99" s="74"/>
      <c r="T99" s="74"/>
      <c r="U99" s="74"/>
      <c r="V99" s="74"/>
      <c r="W99" s="74"/>
    </row>
    <row r="100" spans="1:23" ht="11.25" customHeight="1" x14ac:dyDescent="0.25">
      <c r="A100" s="1028">
        <f>'[4]Org structure'!E100</f>
        <v>0</v>
      </c>
      <c r="B100" s="905"/>
      <c r="C100" s="1454"/>
      <c r="D100" s="1454"/>
      <c r="E100" s="2103"/>
      <c r="F100" s="2104"/>
      <c r="G100" s="1454"/>
      <c r="H100" s="1455"/>
      <c r="I100" s="2105"/>
      <c r="J100" s="1454"/>
      <c r="K100" s="2103"/>
      <c r="L100" s="73"/>
      <c r="M100" s="74"/>
      <c r="N100" s="74"/>
      <c r="O100" s="74"/>
      <c r="P100" s="74"/>
      <c r="Q100" s="74"/>
      <c r="R100" s="74"/>
      <c r="S100" s="74"/>
      <c r="T100" s="74"/>
      <c r="U100" s="74"/>
      <c r="V100" s="74"/>
      <c r="W100" s="74"/>
    </row>
    <row r="101" spans="1:23" ht="11.25" customHeight="1" x14ac:dyDescent="0.25">
      <c r="A101" s="1028">
        <f>'[4]Org structure'!E101</f>
        <v>0</v>
      </c>
      <c r="B101" s="905"/>
      <c r="C101" s="1454"/>
      <c r="D101" s="1454"/>
      <c r="E101" s="2103"/>
      <c r="F101" s="2104"/>
      <c r="G101" s="1454"/>
      <c r="H101" s="1455"/>
      <c r="I101" s="2105"/>
      <c r="J101" s="1454"/>
      <c r="K101" s="2103"/>
      <c r="L101" s="73"/>
      <c r="M101" s="74"/>
      <c r="N101" s="74"/>
      <c r="O101" s="74"/>
      <c r="P101" s="74"/>
      <c r="Q101" s="74"/>
      <c r="R101" s="74"/>
      <c r="S101" s="74"/>
      <c r="T101" s="74"/>
      <c r="U101" s="74"/>
      <c r="V101" s="74"/>
      <c r="W101" s="74"/>
    </row>
    <row r="102" spans="1:23" ht="11.25" customHeight="1" x14ac:dyDescent="0.25">
      <c r="A102" s="1028">
        <f>'[4]Org structure'!E102</f>
        <v>0</v>
      </c>
      <c r="B102" s="905"/>
      <c r="C102" s="1454"/>
      <c r="D102" s="1454"/>
      <c r="E102" s="2103"/>
      <c r="F102" s="2104"/>
      <c r="G102" s="1454"/>
      <c r="H102" s="1455"/>
      <c r="I102" s="2105"/>
      <c r="J102" s="1454"/>
      <c r="K102" s="2103"/>
      <c r="L102" s="73"/>
      <c r="M102" s="74"/>
      <c r="N102" s="74"/>
      <c r="O102" s="74"/>
      <c r="P102" s="74"/>
      <c r="Q102" s="74"/>
      <c r="R102" s="74"/>
      <c r="S102" s="74"/>
      <c r="T102" s="74"/>
      <c r="U102" s="74"/>
      <c r="V102" s="74"/>
      <c r="W102" s="74"/>
    </row>
    <row r="103" spans="1:23" ht="11.25" customHeight="1" x14ac:dyDescent="0.25">
      <c r="A103" s="1028">
        <f>'[4]Org structure'!E103</f>
        <v>0</v>
      </c>
      <c r="B103" s="905"/>
      <c r="C103" s="1454"/>
      <c r="D103" s="1454"/>
      <c r="E103" s="2103"/>
      <c r="F103" s="2104"/>
      <c r="G103" s="1454"/>
      <c r="H103" s="1455"/>
      <c r="I103" s="2105"/>
      <c r="J103" s="1454"/>
      <c r="K103" s="2103"/>
      <c r="L103" s="73"/>
      <c r="M103" s="74"/>
      <c r="N103" s="74"/>
      <c r="O103" s="74"/>
      <c r="P103" s="74"/>
      <c r="Q103" s="74"/>
      <c r="R103" s="74"/>
      <c r="S103" s="74"/>
      <c r="T103" s="74"/>
      <c r="U103" s="74"/>
      <c r="V103" s="74"/>
      <c r="W103" s="74"/>
    </row>
    <row r="104" spans="1:23" ht="11.25" customHeight="1" x14ac:dyDescent="0.25">
      <c r="A104" s="1028">
        <f>'[4]Org structure'!E104</f>
        <v>0</v>
      </c>
      <c r="B104" s="905"/>
      <c r="C104" s="1454"/>
      <c r="D104" s="1454"/>
      <c r="E104" s="2103"/>
      <c r="F104" s="2104"/>
      <c r="G104" s="1454"/>
      <c r="H104" s="1455"/>
      <c r="I104" s="2105"/>
      <c r="J104" s="1454"/>
      <c r="K104" s="2103"/>
      <c r="L104" s="73"/>
      <c r="M104" s="74"/>
      <c r="N104" s="74"/>
      <c r="O104" s="74"/>
      <c r="P104" s="74"/>
      <c r="Q104" s="74"/>
      <c r="R104" s="74"/>
      <c r="S104" s="74"/>
      <c r="T104" s="74"/>
      <c r="U104" s="74"/>
      <c r="V104" s="74"/>
      <c r="W104" s="74"/>
    </row>
    <row r="105" spans="1:23" ht="11.25" customHeight="1" x14ac:dyDescent="0.25">
      <c r="A105" s="1028">
        <f>'[4]Org structure'!E105</f>
        <v>0</v>
      </c>
      <c r="B105" s="905"/>
      <c r="C105" s="1454"/>
      <c r="D105" s="1454"/>
      <c r="E105" s="2103"/>
      <c r="F105" s="2104"/>
      <c r="G105" s="1454"/>
      <c r="H105" s="1455"/>
      <c r="I105" s="2105"/>
      <c r="J105" s="1454"/>
      <c r="K105" s="2103"/>
      <c r="L105" s="73"/>
      <c r="M105" s="74"/>
      <c r="N105" s="74"/>
      <c r="O105" s="74"/>
      <c r="P105" s="74"/>
      <c r="Q105" s="74"/>
      <c r="R105" s="74"/>
      <c r="S105" s="74"/>
      <c r="T105" s="74"/>
      <c r="U105" s="74"/>
      <c r="V105" s="74"/>
      <c r="W105" s="74"/>
    </row>
    <row r="106" spans="1:23" ht="11.25" customHeight="1" x14ac:dyDescent="0.25">
      <c r="A106" s="1028">
        <f>'[4]Org structure'!E106</f>
        <v>0</v>
      </c>
      <c r="B106" s="905"/>
      <c r="C106" s="1454"/>
      <c r="D106" s="1454"/>
      <c r="E106" s="2103"/>
      <c r="F106" s="2104"/>
      <c r="G106" s="1454"/>
      <c r="H106" s="1455"/>
      <c r="I106" s="2105"/>
      <c r="J106" s="1454"/>
      <c r="K106" s="2103"/>
      <c r="L106" s="73"/>
      <c r="M106" s="74"/>
      <c r="N106" s="74"/>
      <c r="O106" s="74"/>
      <c r="P106" s="74"/>
      <c r="Q106" s="74"/>
      <c r="R106" s="74"/>
      <c r="S106" s="74"/>
      <c r="T106" s="74"/>
      <c r="U106" s="74"/>
      <c r="V106" s="74"/>
      <c r="W106" s="74"/>
    </row>
    <row r="107" spans="1:23" ht="11.25" customHeight="1" x14ac:dyDescent="0.25">
      <c r="A107" s="1028">
        <f>'[4]Org structure'!E107</f>
        <v>0</v>
      </c>
      <c r="B107" s="905"/>
      <c r="C107" s="1454"/>
      <c r="D107" s="1454"/>
      <c r="E107" s="2103"/>
      <c r="F107" s="2104"/>
      <c r="G107" s="1454"/>
      <c r="H107" s="1455"/>
      <c r="I107" s="2105"/>
      <c r="J107" s="1454"/>
      <c r="K107" s="2103"/>
      <c r="L107" s="73"/>
      <c r="M107" s="74"/>
      <c r="N107" s="74"/>
      <c r="O107" s="74"/>
      <c r="P107" s="74"/>
      <c r="Q107" s="74"/>
      <c r="R107" s="74"/>
      <c r="S107" s="74"/>
      <c r="T107" s="74"/>
      <c r="U107" s="74"/>
      <c r="V107" s="74"/>
      <c r="W107" s="74"/>
    </row>
    <row r="108" spans="1:23" ht="11.25" customHeight="1" x14ac:dyDescent="0.25">
      <c r="A108" s="1028">
        <f>'[4]Org structure'!E108</f>
        <v>0</v>
      </c>
      <c r="B108" s="905"/>
      <c r="C108" s="1454"/>
      <c r="D108" s="1454"/>
      <c r="E108" s="2103"/>
      <c r="F108" s="2104"/>
      <c r="G108" s="1454"/>
      <c r="H108" s="1455"/>
      <c r="I108" s="2105"/>
      <c r="J108" s="1454"/>
      <c r="K108" s="2103"/>
      <c r="L108" s="73"/>
      <c r="M108" s="74"/>
      <c r="N108" s="74"/>
      <c r="O108" s="74"/>
      <c r="P108" s="74"/>
      <c r="Q108" s="74"/>
      <c r="R108" s="74"/>
      <c r="S108" s="74"/>
      <c r="T108" s="74"/>
      <c r="U108" s="74"/>
      <c r="V108" s="74"/>
      <c r="W108" s="74"/>
    </row>
    <row r="109" spans="1:23" ht="15" customHeight="1" x14ac:dyDescent="0.25">
      <c r="A109" s="1650" t="str">
        <f>'[4]Org structure'!A12</f>
        <v>Vote 11 - [NAME OF VOTE 11]</v>
      </c>
      <c r="B109" s="905"/>
      <c r="C109" s="849">
        <f>SUM(C110:C119)</f>
        <v>0</v>
      </c>
      <c r="D109" s="849">
        <f t="shared" ref="D109:K109" si="10">SUM(D110:D119)</f>
        <v>0</v>
      </c>
      <c r="E109" s="850">
        <f t="shared" si="10"/>
        <v>0</v>
      </c>
      <c r="F109" s="851">
        <f t="shared" si="10"/>
        <v>0</v>
      </c>
      <c r="G109" s="849">
        <f t="shared" si="10"/>
        <v>0</v>
      </c>
      <c r="H109" s="852">
        <f t="shared" si="10"/>
        <v>0</v>
      </c>
      <c r="I109" s="853">
        <f t="shared" si="10"/>
        <v>0</v>
      </c>
      <c r="J109" s="849">
        <f t="shared" si="10"/>
        <v>0</v>
      </c>
      <c r="K109" s="850">
        <f t="shared" si="10"/>
        <v>0</v>
      </c>
      <c r="L109" s="73"/>
      <c r="M109" s="74"/>
      <c r="N109" s="74"/>
      <c r="O109" s="74"/>
      <c r="P109" s="74"/>
      <c r="Q109" s="74"/>
      <c r="R109" s="74"/>
      <c r="S109" s="74"/>
      <c r="T109" s="74"/>
      <c r="U109" s="74"/>
      <c r="V109" s="74"/>
      <c r="W109" s="74"/>
    </row>
    <row r="110" spans="1:23" ht="11.25" customHeight="1" x14ac:dyDescent="0.25">
      <c r="A110" s="1028" t="str">
        <f>'[4]Org structure'!E110</f>
        <v>11.1 - [Name of sub-vote]</v>
      </c>
      <c r="B110" s="905"/>
      <c r="C110" s="1454"/>
      <c r="D110" s="1454"/>
      <c r="E110" s="2103"/>
      <c r="F110" s="2104"/>
      <c r="G110" s="1454"/>
      <c r="H110" s="1455"/>
      <c r="I110" s="2105"/>
      <c r="J110" s="1454"/>
      <c r="K110" s="2103"/>
      <c r="L110" s="73"/>
      <c r="M110" s="74"/>
      <c r="N110" s="74"/>
      <c r="O110" s="74"/>
      <c r="P110" s="74"/>
      <c r="Q110" s="74"/>
      <c r="R110" s="74"/>
      <c r="S110" s="74"/>
      <c r="T110" s="74"/>
      <c r="U110" s="74"/>
      <c r="V110" s="74"/>
      <c r="W110" s="74"/>
    </row>
    <row r="111" spans="1:23" ht="11.25" customHeight="1" x14ac:dyDescent="0.25">
      <c r="A111" s="1028">
        <f>'[4]Org structure'!E111</f>
        <v>0</v>
      </c>
      <c r="B111" s="905"/>
      <c r="C111" s="1454"/>
      <c r="D111" s="1454"/>
      <c r="E111" s="2103"/>
      <c r="F111" s="2104"/>
      <c r="G111" s="1454"/>
      <c r="H111" s="1455"/>
      <c r="I111" s="2105"/>
      <c r="J111" s="1454"/>
      <c r="K111" s="2103"/>
      <c r="L111" s="73"/>
      <c r="M111" s="74"/>
      <c r="N111" s="74"/>
      <c r="O111" s="74"/>
      <c r="P111" s="74"/>
      <c r="Q111" s="74"/>
      <c r="R111" s="74"/>
      <c r="S111" s="74"/>
      <c r="T111" s="74"/>
      <c r="U111" s="74"/>
      <c r="V111" s="74"/>
      <c r="W111" s="74"/>
    </row>
    <row r="112" spans="1:23" ht="11.25" customHeight="1" x14ac:dyDescent="0.25">
      <c r="A112" s="1028">
        <f>'[4]Org structure'!E112</f>
        <v>0</v>
      </c>
      <c r="B112" s="905"/>
      <c r="C112" s="1454"/>
      <c r="D112" s="1454"/>
      <c r="E112" s="2103"/>
      <c r="F112" s="2104"/>
      <c r="G112" s="1454"/>
      <c r="H112" s="1455"/>
      <c r="I112" s="2105"/>
      <c r="J112" s="1454"/>
      <c r="K112" s="2103"/>
      <c r="L112" s="73"/>
      <c r="M112" s="74"/>
      <c r="N112" s="74"/>
      <c r="O112" s="74"/>
      <c r="P112" s="74"/>
      <c r="Q112" s="74"/>
      <c r="R112" s="74"/>
      <c r="S112" s="74"/>
      <c r="T112" s="74"/>
      <c r="U112" s="74"/>
      <c r="V112" s="74"/>
      <c r="W112" s="74"/>
    </row>
    <row r="113" spans="1:23" ht="11.25" customHeight="1" x14ac:dyDescent="0.25">
      <c r="A113" s="1028">
        <f>'[4]Org structure'!E113</f>
        <v>0</v>
      </c>
      <c r="B113" s="905"/>
      <c r="C113" s="1454"/>
      <c r="D113" s="1454"/>
      <c r="E113" s="2103"/>
      <c r="F113" s="2104"/>
      <c r="G113" s="1454"/>
      <c r="H113" s="1455"/>
      <c r="I113" s="2105"/>
      <c r="J113" s="1454"/>
      <c r="K113" s="2103"/>
      <c r="L113" s="73"/>
      <c r="M113" s="74"/>
      <c r="N113" s="74"/>
      <c r="O113" s="74"/>
      <c r="P113" s="74"/>
      <c r="Q113" s="74"/>
      <c r="R113" s="74"/>
      <c r="S113" s="74"/>
      <c r="T113" s="74"/>
      <c r="U113" s="74"/>
      <c r="V113" s="74"/>
      <c r="W113" s="74"/>
    </row>
    <row r="114" spans="1:23" ht="11.25" customHeight="1" x14ac:dyDescent="0.25">
      <c r="A114" s="1028">
        <f>'[4]Org structure'!E114</f>
        <v>0</v>
      </c>
      <c r="B114" s="905"/>
      <c r="C114" s="1454"/>
      <c r="D114" s="1454"/>
      <c r="E114" s="2103"/>
      <c r="F114" s="2104"/>
      <c r="G114" s="1454"/>
      <c r="H114" s="1455"/>
      <c r="I114" s="2105"/>
      <c r="J114" s="1454"/>
      <c r="K114" s="2103"/>
      <c r="L114" s="73"/>
      <c r="M114" s="74"/>
      <c r="N114" s="74"/>
      <c r="O114" s="74"/>
      <c r="P114" s="74"/>
      <c r="Q114" s="74"/>
      <c r="R114" s="74"/>
      <c r="S114" s="74"/>
      <c r="T114" s="74"/>
      <c r="U114" s="74"/>
      <c r="V114" s="74"/>
      <c r="W114" s="74"/>
    </row>
    <row r="115" spans="1:23" ht="11.25" customHeight="1" x14ac:dyDescent="0.25">
      <c r="A115" s="1028">
        <f>'[4]Org structure'!E115</f>
        <v>0</v>
      </c>
      <c r="B115" s="905"/>
      <c r="C115" s="1454"/>
      <c r="D115" s="1454"/>
      <c r="E115" s="2103"/>
      <c r="F115" s="2104"/>
      <c r="G115" s="1454"/>
      <c r="H115" s="1455"/>
      <c r="I115" s="2105"/>
      <c r="J115" s="1454"/>
      <c r="K115" s="2103"/>
      <c r="L115" s="73"/>
      <c r="M115" s="74"/>
      <c r="N115" s="74"/>
      <c r="O115" s="74"/>
      <c r="P115" s="74"/>
      <c r="Q115" s="74"/>
      <c r="R115" s="74"/>
      <c r="S115" s="74"/>
      <c r="T115" s="74"/>
      <c r="U115" s="74"/>
      <c r="V115" s="74"/>
      <c r="W115" s="74"/>
    </row>
    <row r="116" spans="1:23" ht="11.25" customHeight="1" x14ac:dyDescent="0.25">
      <c r="A116" s="1028">
        <f>'[4]Org structure'!E116</f>
        <v>0</v>
      </c>
      <c r="B116" s="905"/>
      <c r="C116" s="1454"/>
      <c r="D116" s="1454"/>
      <c r="E116" s="2103"/>
      <c r="F116" s="2104"/>
      <c r="G116" s="1454"/>
      <c r="H116" s="1455"/>
      <c r="I116" s="2105"/>
      <c r="J116" s="1454"/>
      <c r="K116" s="2103"/>
      <c r="L116" s="73"/>
      <c r="M116" s="74"/>
      <c r="N116" s="74"/>
      <c r="O116" s="74"/>
      <c r="P116" s="74"/>
      <c r="Q116" s="74"/>
      <c r="R116" s="74"/>
      <c r="S116" s="74"/>
      <c r="T116" s="74"/>
      <c r="U116" s="74"/>
      <c r="V116" s="74"/>
      <c r="W116" s="74"/>
    </row>
    <row r="117" spans="1:23" ht="11.25" customHeight="1" x14ac:dyDescent="0.25">
      <c r="A117" s="1028">
        <f>'[4]Org structure'!E117</f>
        <v>0</v>
      </c>
      <c r="B117" s="905"/>
      <c r="C117" s="1454"/>
      <c r="D117" s="1454"/>
      <c r="E117" s="2103"/>
      <c r="F117" s="2104"/>
      <c r="G117" s="1454"/>
      <c r="H117" s="1455"/>
      <c r="I117" s="2105"/>
      <c r="J117" s="1454"/>
      <c r="K117" s="2103"/>
      <c r="L117" s="73"/>
      <c r="M117" s="74"/>
      <c r="N117" s="74"/>
      <c r="O117" s="74"/>
      <c r="P117" s="74"/>
      <c r="Q117" s="74"/>
      <c r="R117" s="74"/>
      <c r="S117" s="74"/>
      <c r="T117" s="74"/>
      <c r="U117" s="74"/>
      <c r="V117" s="74"/>
      <c r="W117" s="74"/>
    </row>
    <row r="118" spans="1:23" ht="11.25" customHeight="1" x14ac:dyDescent="0.25">
      <c r="A118" s="1028">
        <f>'[4]Org structure'!E118</f>
        <v>0</v>
      </c>
      <c r="B118" s="905"/>
      <c r="C118" s="1454"/>
      <c r="D118" s="1454"/>
      <c r="E118" s="2103"/>
      <c r="F118" s="2104"/>
      <c r="G118" s="1454"/>
      <c r="H118" s="1455"/>
      <c r="I118" s="2105"/>
      <c r="J118" s="1454"/>
      <c r="K118" s="2103"/>
      <c r="L118" s="73"/>
      <c r="M118" s="74"/>
      <c r="N118" s="74"/>
      <c r="O118" s="74"/>
      <c r="P118" s="74"/>
      <c r="Q118" s="74"/>
      <c r="R118" s="74"/>
      <c r="S118" s="74"/>
      <c r="T118" s="74"/>
      <c r="U118" s="74"/>
      <c r="V118" s="74"/>
      <c r="W118" s="74"/>
    </row>
    <row r="119" spans="1:23" ht="11.25" customHeight="1" x14ac:dyDescent="0.25">
      <c r="A119" s="1028">
        <f>'[4]Org structure'!E119</f>
        <v>0</v>
      </c>
      <c r="B119" s="905"/>
      <c r="C119" s="1454"/>
      <c r="D119" s="1454"/>
      <c r="E119" s="2103"/>
      <c r="F119" s="2104"/>
      <c r="G119" s="1454"/>
      <c r="H119" s="1455"/>
      <c r="I119" s="2105"/>
      <c r="J119" s="1454"/>
      <c r="K119" s="2103"/>
      <c r="L119" s="73"/>
      <c r="M119" s="74"/>
      <c r="N119" s="74"/>
      <c r="O119" s="74"/>
      <c r="P119" s="74"/>
      <c r="Q119" s="74"/>
      <c r="R119" s="74"/>
      <c r="S119" s="74"/>
      <c r="T119" s="74"/>
      <c r="U119" s="74"/>
      <c r="V119" s="74"/>
      <c r="W119" s="74"/>
    </row>
    <row r="120" spans="1:23" ht="15" customHeight="1" x14ac:dyDescent="0.25">
      <c r="A120" s="1650" t="str">
        <f>'[4]Org structure'!A13</f>
        <v>Vote 12 - [NAME OF VOTE 12]</v>
      </c>
      <c r="B120" s="905"/>
      <c r="C120" s="849">
        <f>SUM(C121:C130)</f>
        <v>0</v>
      </c>
      <c r="D120" s="849">
        <f t="shared" ref="D120:K120" si="11">SUM(D121:D130)</f>
        <v>0</v>
      </c>
      <c r="E120" s="850">
        <f t="shared" si="11"/>
        <v>0</v>
      </c>
      <c r="F120" s="851">
        <f t="shared" si="11"/>
        <v>0</v>
      </c>
      <c r="G120" s="849">
        <f t="shared" si="11"/>
        <v>0</v>
      </c>
      <c r="H120" s="852">
        <f t="shared" si="11"/>
        <v>0</v>
      </c>
      <c r="I120" s="853">
        <f t="shared" si="11"/>
        <v>0</v>
      </c>
      <c r="J120" s="849">
        <f t="shared" si="11"/>
        <v>0</v>
      </c>
      <c r="K120" s="850">
        <f t="shared" si="11"/>
        <v>0</v>
      </c>
      <c r="L120" s="73"/>
      <c r="M120" s="74"/>
      <c r="N120" s="74"/>
      <c r="O120" s="74"/>
      <c r="P120" s="74"/>
      <c r="Q120" s="74"/>
      <c r="R120" s="74"/>
      <c r="S120" s="74"/>
      <c r="T120" s="74"/>
      <c r="U120" s="74"/>
      <c r="V120" s="74"/>
      <c r="W120" s="74"/>
    </row>
    <row r="121" spans="1:23" ht="11.25" customHeight="1" x14ac:dyDescent="0.25">
      <c r="A121" s="1028" t="str">
        <f>'[4]Org structure'!E121</f>
        <v>12.1 - [Name of sub-vote]</v>
      </c>
      <c r="B121" s="905"/>
      <c r="C121" s="1454"/>
      <c r="D121" s="1454"/>
      <c r="E121" s="2103"/>
      <c r="F121" s="2104"/>
      <c r="G121" s="1454"/>
      <c r="H121" s="1455"/>
      <c r="I121" s="2105"/>
      <c r="J121" s="1454"/>
      <c r="K121" s="2103"/>
      <c r="L121" s="73"/>
      <c r="M121" s="74"/>
      <c r="N121" s="74"/>
      <c r="O121" s="74"/>
      <c r="P121" s="74"/>
      <c r="Q121" s="74"/>
      <c r="R121" s="74"/>
      <c r="S121" s="74"/>
      <c r="T121" s="74"/>
      <c r="U121" s="74"/>
      <c r="V121" s="74"/>
      <c r="W121" s="74"/>
    </row>
    <row r="122" spans="1:23" ht="11.25" customHeight="1" x14ac:dyDescent="0.25">
      <c r="A122" s="1028">
        <f>'[4]Org structure'!E122</f>
        <v>0</v>
      </c>
      <c r="B122" s="905"/>
      <c r="C122" s="1454"/>
      <c r="D122" s="1454"/>
      <c r="E122" s="2103"/>
      <c r="F122" s="2104"/>
      <c r="G122" s="1454"/>
      <c r="H122" s="1455"/>
      <c r="I122" s="2105"/>
      <c r="J122" s="1454"/>
      <c r="K122" s="2103"/>
      <c r="L122" s="73"/>
      <c r="M122" s="74"/>
      <c r="N122" s="74"/>
      <c r="O122" s="74"/>
      <c r="P122" s="74"/>
      <c r="Q122" s="74"/>
      <c r="R122" s="74"/>
      <c r="S122" s="74"/>
      <c r="T122" s="74"/>
      <c r="U122" s="74"/>
      <c r="V122" s="74"/>
      <c r="W122" s="74"/>
    </row>
    <row r="123" spans="1:23" ht="11.25" customHeight="1" x14ac:dyDescent="0.25">
      <c r="A123" s="1028">
        <f>'[4]Org structure'!E123</f>
        <v>0</v>
      </c>
      <c r="B123" s="905"/>
      <c r="C123" s="1454"/>
      <c r="D123" s="1454"/>
      <c r="E123" s="2103"/>
      <c r="F123" s="2104"/>
      <c r="G123" s="1454"/>
      <c r="H123" s="1455"/>
      <c r="I123" s="2105"/>
      <c r="J123" s="1454"/>
      <c r="K123" s="2103"/>
      <c r="L123" s="73"/>
      <c r="M123" s="74"/>
      <c r="N123" s="74"/>
      <c r="O123" s="74"/>
      <c r="P123" s="74"/>
      <c r="Q123" s="74"/>
      <c r="R123" s="74"/>
      <c r="S123" s="74"/>
      <c r="T123" s="74"/>
      <c r="U123" s="74"/>
      <c r="V123" s="74"/>
      <c r="W123" s="74"/>
    </row>
    <row r="124" spans="1:23" ht="11.25" customHeight="1" x14ac:dyDescent="0.25">
      <c r="A124" s="1028">
        <f>'[4]Org structure'!E124</f>
        <v>0</v>
      </c>
      <c r="B124" s="905"/>
      <c r="C124" s="1454"/>
      <c r="D124" s="1454"/>
      <c r="E124" s="2103"/>
      <c r="F124" s="2104"/>
      <c r="G124" s="1454"/>
      <c r="H124" s="1455"/>
      <c r="I124" s="2105"/>
      <c r="J124" s="1454"/>
      <c r="K124" s="2103"/>
      <c r="L124" s="73"/>
      <c r="M124" s="74"/>
      <c r="N124" s="74"/>
      <c r="O124" s="74"/>
      <c r="P124" s="74"/>
      <c r="Q124" s="74"/>
      <c r="R124" s="74"/>
      <c r="S124" s="74"/>
      <c r="T124" s="74"/>
      <c r="U124" s="74"/>
      <c r="V124" s="74"/>
      <c r="W124" s="74"/>
    </row>
    <row r="125" spans="1:23" ht="11.25" customHeight="1" x14ac:dyDescent="0.25">
      <c r="A125" s="1028">
        <f>'[4]Org structure'!E125</f>
        <v>0</v>
      </c>
      <c r="B125" s="905"/>
      <c r="C125" s="1454"/>
      <c r="D125" s="1454"/>
      <c r="E125" s="2103"/>
      <c r="F125" s="2104"/>
      <c r="G125" s="1454"/>
      <c r="H125" s="1455"/>
      <c r="I125" s="2105"/>
      <c r="J125" s="1454"/>
      <c r="K125" s="2103"/>
      <c r="L125" s="73"/>
      <c r="M125" s="74"/>
      <c r="N125" s="74"/>
      <c r="O125" s="74"/>
      <c r="P125" s="74"/>
      <c r="Q125" s="74"/>
      <c r="R125" s="74"/>
      <c r="S125" s="74"/>
      <c r="T125" s="74"/>
      <c r="U125" s="74"/>
      <c r="V125" s="74"/>
      <c r="W125" s="74"/>
    </row>
    <row r="126" spans="1:23" ht="11.25" customHeight="1" x14ac:dyDescent="0.25">
      <c r="A126" s="1028">
        <f>'[4]Org structure'!E126</f>
        <v>0</v>
      </c>
      <c r="B126" s="905"/>
      <c r="C126" s="1454"/>
      <c r="D126" s="1454"/>
      <c r="E126" s="2103"/>
      <c r="F126" s="2104"/>
      <c r="G126" s="1454"/>
      <c r="H126" s="1455"/>
      <c r="I126" s="2105"/>
      <c r="J126" s="1454"/>
      <c r="K126" s="2103"/>
      <c r="L126" s="73"/>
      <c r="M126" s="74"/>
      <c r="N126" s="74"/>
      <c r="O126" s="74"/>
      <c r="P126" s="74"/>
      <c r="Q126" s="74"/>
      <c r="R126" s="74"/>
      <c r="S126" s="74"/>
      <c r="T126" s="74"/>
      <c r="U126" s="74"/>
      <c r="V126" s="74"/>
      <c r="W126" s="74"/>
    </row>
    <row r="127" spans="1:23" ht="11.25" customHeight="1" x14ac:dyDescent="0.25">
      <c r="A127" s="1028">
        <f>'[4]Org structure'!E127</f>
        <v>0</v>
      </c>
      <c r="B127" s="905"/>
      <c r="C127" s="1454"/>
      <c r="D127" s="1454"/>
      <c r="E127" s="2103"/>
      <c r="F127" s="2104"/>
      <c r="G127" s="1454"/>
      <c r="H127" s="1455"/>
      <c r="I127" s="2105"/>
      <c r="J127" s="1454"/>
      <c r="K127" s="2103"/>
      <c r="L127" s="73"/>
      <c r="M127" s="74"/>
      <c r="N127" s="74"/>
      <c r="O127" s="74"/>
      <c r="P127" s="74"/>
      <c r="Q127" s="74"/>
      <c r="R127" s="74"/>
      <c r="S127" s="74"/>
      <c r="T127" s="74"/>
      <c r="U127" s="74"/>
      <c r="V127" s="74"/>
      <c r="W127" s="74"/>
    </row>
    <row r="128" spans="1:23" ht="11.25" customHeight="1" x14ac:dyDescent="0.25">
      <c r="A128" s="1028">
        <f>'[4]Org structure'!E128</f>
        <v>0</v>
      </c>
      <c r="B128" s="905"/>
      <c r="C128" s="1454"/>
      <c r="D128" s="1454"/>
      <c r="E128" s="2103"/>
      <c r="F128" s="2104"/>
      <c r="G128" s="1454"/>
      <c r="H128" s="1455"/>
      <c r="I128" s="2105"/>
      <c r="J128" s="1454"/>
      <c r="K128" s="2103"/>
      <c r="L128" s="73"/>
      <c r="M128" s="74"/>
      <c r="N128" s="74"/>
      <c r="O128" s="74"/>
      <c r="P128" s="74"/>
      <c r="Q128" s="74"/>
      <c r="R128" s="74"/>
      <c r="S128" s="74"/>
      <c r="T128" s="74"/>
      <c r="U128" s="74"/>
      <c r="V128" s="74"/>
      <c r="W128" s="74"/>
    </row>
    <row r="129" spans="1:23" ht="11.25" customHeight="1" x14ac:dyDescent="0.25">
      <c r="A129" s="1028">
        <f>'[4]Org structure'!E129</f>
        <v>0</v>
      </c>
      <c r="B129" s="905"/>
      <c r="C129" s="1454"/>
      <c r="D129" s="1454"/>
      <c r="E129" s="2103"/>
      <c r="F129" s="2104"/>
      <c r="G129" s="1454"/>
      <c r="H129" s="1455"/>
      <c r="I129" s="2105"/>
      <c r="J129" s="1454"/>
      <c r="K129" s="2103"/>
      <c r="L129" s="73"/>
      <c r="M129" s="74"/>
      <c r="N129" s="74"/>
      <c r="O129" s="74"/>
      <c r="P129" s="74"/>
      <c r="Q129" s="74"/>
      <c r="R129" s="74"/>
      <c r="S129" s="74"/>
      <c r="T129" s="74"/>
      <c r="U129" s="74"/>
      <c r="V129" s="74"/>
      <c r="W129" s="74"/>
    </row>
    <row r="130" spans="1:23" ht="11.25" customHeight="1" x14ac:dyDescent="0.25">
      <c r="A130" s="1028">
        <f>'[4]Org structure'!E130</f>
        <v>0</v>
      </c>
      <c r="B130" s="905"/>
      <c r="C130" s="1454"/>
      <c r="D130" s="1454"/>
      <c r="E130" s="2103"/>
      <c r="F130" s="2104"/>
      <c r="G130" s="1454"/>
      <c r="H130" s="1455"/>
      <c r="I130" s="2105"/>
      <c r="J130" s="1454"/>
      <c r="K130" s="2103"/>
      <c r="L130" s="73"/>
      <c r="M130" s="74"/>
      <c r="N130" s="74"/>
      <c r="O130" s="74"/>
      <c r="P130" s="74"/>
      <c r="Q130" s="74"/>
      <c r="R130" s="74"/>
      <c r="S130" s="74"/>
      <c r="T130" s="74"/>
      <c r="U130" s="74"/>
      <c r="V130" s="74"/>
      <c r="W130" s="74"/>
    </row>
    <row r="131" spans="1:23" ht="15" customHeight="1" x14ac:dyDescent="0.25">
      <c r="A131" s="1650" t="str">
        <f>'[4]Org structure'!A14</f>
        <v>Vote 13 - [NAME OF VOTE 13]</v>
      </c>
      <c r="B131" s="905"/>
      <c r="C131" s="849">
        <f>SUM(C132:C141)</f>
        <v>0</v>
      </c>
      <c r="D131" s="849">
        <f t="shared" ref="D131:K131" si="12">SUM(D132:D141)</f>
        <v>0</v>
      </c>
      <c r="E131" s="850">
        <f t="shared" si="12"/>
        <v>0</v>
      </c>
      <c r="F131" s="851">
        <f t="shared" si="12"/>
        <v>0</v>
      </c>
      <c r="G131" s="849">
        <f t="shared" si="12"/>
        <v>0</v>
      </c>
      <c r="H131" s="852">
        <f t="shared" si="12"/>
        <v>0</v>
      </c>
      <c r="I131" s="853">
        <f t="shared" si="12"/>
        <v>0</v>
      </c>
      <c r="J131" s="849">
        <f t="shared" si="12"/>
        <v>0</v>
      </c>
      <c r="K131" s="850">
        <f t="shared" si="12"/>
        <v>0</v>
      </c>
      <c r="L131" s="73"/>
      <c r="M131" s="74"/>
      <c r="N131" s="74"/>
      <c r="O131" s="74"/>
      <c r="P131" s="74"/>
      <c r="Q131" s="74"/>
      <c r="R131" s="74"/>
      <c r="S131" s="74"/>
      <c r="T131" s="74"/>
      <c r="U131" s="74"/>
      <c r="V131" s="74"/>
      <c r="W131" s="74"/>
    </row>
    <row r="132" spans="1:23" ht="11.25" customHeight="1" x14ac:dyDescent="0.25">
      <c r="A132" s="1028" t="str">
        <f>'[4]Org structure'!E132</f>
        <v>13.1 - [Name of sub-vote]</v>
      </c>
      <c r="B132" s="905"/>
      <c r="C132" s="1454"/>
      <c r="D132" s="1454"/>
      <c r="E132" s="2103"/>
      <c r="F132" s="2104"/>
      <c r="G132" s="1454"/>
      <c r="H132" s="1455"/>
      <c r="I132" s="2105"/>
      <c r="J132" s="1454"/>
      <c r="K132" s="2103"/>
      <c r="L132" s="73"/>
      <c r="M132" s="74"/>
      <c r="N132" s="74"/>
      <c r="O132" s="74"/>
      <c r="P132" s="74"/>
      <c r="Q132" s="74"/>
      <c r="R132" s="74"/>
      <c r="S132" s="74"/>
      <c r="T132" s="74"/>
      <c r="U132" s="74"/>
      <c r="V132" s="74"/>
      <c r="W132" s="74"/>
    </row>
    <row r="133" spans="1:23" ht="11.25" customHeight="1" x14ac:dyDescent="0.25">
      <c r="A133" s="1028">
        <f>'[4]Org structure'!E133</f>
        <v>0</v>
      </c>
      <c r="B133" s="905"/>
      <c r="C133" s="1454"/>
      <c r="D133" s="1454"/>
      <c r="E133" s="2103"/>
      <c r="F133" s="2104"/>
      <c r="G133" s="1454"/>
      <c r="H133" s="1455"/>
      <c r="I133" s="2105"/>
      <c r="J133" s="1454"/>
      <c r="K133" s="2103"/>
      <c r="L133" s="73"/>
      <c r="M133" s="74"/>
      <c r="N133" s="74"/>
      <c r="O133" s="74"/>
      <c r="P133" s="74"/>
      <c r="Q133" s="74"/>
      <c r="R133" s="74"/>
      <c r="S133" s="74"/>
      <c r="T133" s="74"/>
      <c r="U133" s="74"/>
      <c r="V133" s="74"/>
      <c r="W133" s="74"/>
    </row>
    <row r="134" spans="1:23" ht="11.25" customHeight="1" x14ac:dyDescent="0.25">
      <c r="A134" s="1028">
        <f>'[4]Org structure'!E134</f>
        <v>0</v>
      </c>
      <c r="B134" s="905"/>
      <c r="C134" s="1454"/>
      <c r="D134" s="1454"/>
      <c r="E134" s="2103"/>
      <c r="F134" s="2104"/>
      <c r="G134" s="1454"/>
      <c r="H134" s="1455"/>
      <c r="I134" s="2105"/>
      <c r="J134" s="1454"/>
      <c r="K134" s="2103"/>
      <c r="L134" s="73"/>
      <c r="M134" s="74"/>
      <c r="N134" s="74"/>
      <c r="O134" s="74"/>
      <c r="P134" s="74"/>
      <c r="Q134" s="74"/>
      <c r="R134" s="74"/>
      <c r="S134" s="74"/>
      <c r="T134" s="74"/>
      <c r="U134" s="74"/>
      <c r="V134" s="74"/>
      <c r="W134" s="74"/>
    </row>
    <row r="135" spans="1:23" ht="11.25" customHeight="1" x14ac:dyDescent="0.25">
      <c r="A135" s="1028">
        <f>'[4]Org structure'!E135</f>
        <v>0</v>
      </c>
      <c r="B135" s="905"/>
      <c r="C135" s="1454"/>
      <c r="D135" s="1454"/>
      <c r="E135" s="2103"/>
      <c r="F135" s="2104"/>
      <c r="G135" s="1454"/>
      <c r="H135" s="1455"/>
      <c r="I135" s="2105"/>
      <c r="J135" s="1454"/>
      <c r="K135" s="2103"/>
      <c r="L135" s="73"/>
      <c r="M135" s="74"/>
      <c r="N135" s="74"/>
      <c r="O135" s="74"/>
      <c r="P135" s="74"/>
      <c r="Q135" s="74"/>
      <c r="R135" s="74"/>
      <c r="S135" s="74"/>
      <c r="T135" s="74"/>
      <c r="U135" s="74"/>
      <c r="V135" s="74"/>
      <c r="W135" s="74"/>
    </row>
    <row r="136" spans="1:23" ht="11.25" customHeight="1" x14ac:dyDescent="0.25">
      <c r="A136" s="1028">
        <f>'[4]Org structure'!E136</f>
        <v>0</v>
      </c>
      <c r="B136" s="905"/>
      <c r="C136" s="1454"/>
      <c r="D136" s="1454"/>
      <c r="E136" s="2103"/>
      <c r="F136" s="2104"/>
      <c r="G136" s="1454"/>
      <c r="H136" s="1455"/>
      <c r="I136" s="2105"/>
      <c r="J136" s="1454"/>
      <c r="K136" s="2103"/>
      <c r="L136" s="73"/>
      <c r="M136" s="74"/>
      <c r="N136" s="74"/>
      <c r="O136" s="74"/>
      <c r="P136" s="74"/>
      <c r="Q136" s="74"/>
      <c r="R136" s="74"/>
      <c r="S136" s="74"/>
      <c r="T136" s="74"/>
      <c r="U136" s="74"/>
      <c r="V136" s="74"/>
      <c r="W136" s="74"/>
    </row>
    <row r="137" spans="1:23" ht="11.25" customHeight="1" x14ac:dyDescent="0.25">
      <c r="A137" s="1028">
        <f>'[4]Org structure'!E137</f>
        <v>0</v>
      </c>
      <c r="B137" s="905"/>
      <c r="C137" s="1454"/>
      <c r="D137" s="1454"/>
      <c r="E137" s="2103"/>
      <c r="F137" s="2104"/>
      <c r="G137" s="1454"/>
      <c r="H137" s="1455"/>
      <c r="I137" s="2105"/>
      <c r="J137" s="1454"/>
      <c r="K137" s="2103"/>
      <c r="L137" s="73"/>
      <c r="M137" s="74"/>
      <c r="N137" s="74"/>
      <c r="O137" s="74"/>
      <c r="P137" s="74"/>
      <c r="Q137" s="74"/>
      <c r="R137" s="74"/>
      <c r="S137" s="74"/>
      <c r="T137" s="74"/>
      <c r="U137" s="74"/>
      <c r="V137" s="74"/>
      <c r="W137" s="74"/>
    </row>
    <row r="138" spans="1:23" ht="11.25" customHeight="1" x14ac:dyDescent="0.25">
      <c r="A138" s="1028">
        <f>'[4]Org structure'!E138</f>
        <v>0</v>
      </c>
      <c r="B138" s="905"/>
      <c r="C138" s="1454"/>
      <c r="D138" s="1454"/>
      <c r="E138" s="2103"/>
      <c r="F138" s="2104"/>
      <c r="G138" s="1454"/>
      <c r="H138" s="1455"/>
      <c r="I138" s="2105"/>
      <c r="J138" s="1454"/>
      <c r="K138" s="2103"/>
      <c r="L138" s="73"/>
      <c r="M138" s="74"/>
      <c r="N138" s="74"/>
      <c r="O138" s="74"/>
      <c r="P138" s="74"/>
      <c r="Q138" s="74"/>
      <c r="R138" s="74"/>
      <c r="S138" s="74"/>
      <c r="T138" s="74"/>
      <c r="U138" s="74"/>
      <c r="V138" s="74"/>
      <c r="W138" s="74"/>
    </row>
    <row r="139" spans="1:23" ht="11.25" customHeight="1" x14ac:dyDescent="0.25">
      <c r="A139" s="1028">
        <f>'[4]Org structure'!E139</f>
        <v>0</v>
      </c>
      <c r="B139" s="905"/>
      <c r="C139" s="1454"/>
      <c r="D139" s="1454"/>
      <c r="E139" s="2103"/>
      <c r="F139" s="2104"/>
      <c r="G139" s="1454"/>
      <c r="H139" s="1455"/>
      <c r="I139" s="2105"/>
      <c r="J139" s="1454"/>
      <c r="K139" s="2103"/>
      <c r="L139" s="73"/>
      <c r="M139" s="74"/>
      <c r="N139" s="74"/>
      <c r="O139" s="74"/>
      <c r="P139" s="74"/>
      <c r="Q139" s="74"/>
      <c r="R139" s="74"/>
      <c r="S139" s="74"/>
      <c r="T139" s="74"/>
      <c r="U139" s="74"/>
      <c r="V139" s="74"/>
      <c r="W139" s="74"/>
    </row>
    <row r="140" spans="1:23" ht="11.25" customHeight="1" x14ac:dyDescent="0.25">
      <c r="A140" s="1028">
        <f>'[4]Org structure'!E140</f>
        <v>0</v>
      </c>
      <c r="B140" s="905"/>
      <c r="C140" s="1454"/>
      <c r="D140" s="1454"/>
      <c r="E140" s="2103"/>
      <c r="F140" s="2104"/>
      <c r="G140" s="1454"/>
      <c r="H140" s="1455"/>
      <c r="I140" s="2105"/>
      <c r="J140" s="1454"/>
      <c r="K140" s="2103"/>
      <c r="L140" s="73"/>
      <c r="M140" s="74"/>
      <c r="N140" s="74"/>
      <c r="O140" s="74"/>
      <c r="P140" s="74"/>
      <c r="Q140" s="74"/>
      <c r="R140" s="74"/>
      <c r="S140" s="74"/>
      <c r="T140" s="74"/>
      <c r="U140" s="74"/>
      <c r="V140" s="74"/>
      <c r="W140" s="74"/>
    </row>
    <row r="141" spans="1:23" ht="11.25" customHeight="1" x14ac:dyDescent="0.25">
      <c r="A141" s="1028">
        <f>'[4]Org structure'!E141</f>
        <v>0</v>
      </c>
      <c r="B141" s="905"/>
      <c r="C141" s="1454"/>
      <c r="D141" s="1454"/>
      <c r="E141" s="2103"/>
      <c r="F141" s="2104"/>
      <c r="G141" s="1454"/>
      <c r="H141" s="1455"/>
      <c r="I141" s="2105"/>
      <c r="J141" s="1454"/>
      <c r="K141" s="2103"/>
      <c r="L141" s="73"/>
      <c r="M141" s="74"/>
      <c r="N141" s="74"/>
      <c r="O141" s="74"/>
      <c r="P141" s="74"/>
      <c r="Q141" s="74"/>
      <c r="R141" s="74"/>
      <c r="S141" s="74"/>
      <c r="T141" s="74"/>
      <c r="U141" s="74"/>
      <c r="V141" s="74"/>
      <c r="W141" s="74"/>
    </row>
    <row r="142" spans="1:23" ht="15" customHeight="1" x14ac:dyDescent="0.25">
      <c r="A142" s="1650" t="str">
        <f>'[4]Org structure'!A15</f>
        <v>Vote 14 - [NAME OF VOTE 14]</v>
      </c>
      <c r="B142" s="905"/>
      <c r="C142" s="849">
        <f>SUM(C143:C152)</f>
        <v>0</v>
      </c>
      <c r="D142" s="849">
        <f t="shared" ref="D142:K142" si="13">SUM(D143:D152)</f>
        <v>0</v>
      </c>
      <c r="E142" s="850">
        <f t="shared" si="13"/>
        <v>0</v>
      </c>
      <c r="F142" s="851">
        <f t="shared" si="13"/>
        <v>0</v>
      </c>
      <c r="G142" s="849">
        <f t="shared" si="13"/>
        <v>0</v>
      </c>
      <c r="H142" s="852">
        <f t="shared" si="13"/>
        <v>0</v>
      </c>
      <c r="I142" s="853">
        <f t="shared" si="13"/>
        <v>0</v>
      </c>
      <c r="J142" s="849">
        <f t="shared" si="13"/>
        <v>0</v>
      </c>
      <c r="K142" s="850">
        <f t="shared" si="13"/>
        <v>0</v>
      </c>
      <c r="L142" s="73"/>
      <c r="M142" s="74"/>
      <c r="N142" s="74"/>
      <c r="O142" s="74"/>
      <c r="P142" s="74"/>
      <c r="Q142" s="74"/>
      <c r="R142" s="74"/>
      <c r="S142" s="74"/>
      <c r="T142" s="74"/>
      <c r="U142" s="74"/>
      <c r="V142" s="74"/>
      <c r="W142" s="74"/>
    </row>
    <row r="143" spans="1:23" ht="11.25" customHeight="1" x14ac:dyDescent="0.25">
      <c r="A143" s="1028" t="str">
        <f>'[4]Org structure'!E143</f>
        <v>14.1 - [Name of sub-vote]</v>
      </c>
      <c r="B143" s="905"/>
      <c r="C143" s="1454"/>
      <c r="D143" s="1454"/>
      <c r="E143" s="2103"/>
      <c r="F143" s="2104"/>
      <c r="G143" s="1454"/>
      <c r="H143" s="1455"/>
      <c r="I143" s="2105"/>
      <c r="J143" s="1454"/>
      <c r="K143" s="2103"/>
      <c r="L143" s="73"/>
      <c r="M143" s="74"/>
      <c r="N143" s="74"/>
      <c r="O143" s="74"/>
      <c r="P143" s="74"/>
      <c r="Q143" s="74"/>
      <c r="R143" s="74"/>
      <c r="S143" s="74"/>
      <c r="T143" s="74"/>
      <c r="U143" s="74"/>
      <c r="V143" s="74"/>
      <c r="W143" s="74"/>
    </row>
    <row r="144" spans="1:23" ht="11.25" customHeight="1" x14ac:dyDescent="0.25">
      <c r="A144" s="1028">
        <f>'[4]Org structure'!E144</f>
        <v>0</v>
      </c>
      <c r="B144" s="905"/>
      <c r="C144" s="1454"/>
      <c r="D144" s="1454"/>
      <c r="E144" s="2103"/>
      <c r="F144" s="2104"/>
      <c r="G144" s="1454"/>
      <c r="H144" s="1455"/>
      <c r="I144" s="2105"/>
      <c r="J144" s="1454"/>
      <c r="K144" s="2103"/>
      <c r="L144" s="73"/>
      <c r="M144" s="74"/>
      <c r="N144" s="74"/>
      <c r="O144" s="74"/>
      <c r="P144" s="74"/>
      <c r="Q144" s="74"/>
      <c r="R144" s="74"/>
      <c r="S144" s="74"/>
      <c r="T144" s="74"/>
      <c r="U144" s="74"/>
      <c r="V144" s="74"/>
      <c r="W144" s="74"/>
    </row>
    <row r="145" spans="1:23" ht="11.25" customHeight="1" x14ac:dyDescent="0.25">
      <c r="A145" s="1028">
        <f>'[4]Org structure'!E145</f>
        <v>0</v>
      </c>
      <c r="B145" s="905"/>
      <c r="C145" s="1454"/>
      <c r="D145" s="1454"/>
      <c r="E145" s="2103"/>
      <c r="F145" s="2104"/>
      <c r="G145" s="1454"/>
      <c r="H145" s="1455"/>
      <c r="I145" s="2105"/>
      <c r="J145" s="1454"/>
      <c r="K145" s="2103"/>
      <c r="L145" s="73"/>
      <c r="M145" s="74"/>
      <c r="N145" s="74"/>
      <c r="O145" s="74"/>
      <c r="P145" s="74"/>
      <c r="Q145" s="74"/>
      <c r="R145" s="74"/>
      <c r="S145" s="74"/>
      <c r="T145" s="74"/>
      <c r="U145" s="74"/>
      <c r="V145" s="74"/>
      <c r="W145" s="74"/>
    </row>
    <row r="146" spans="1:23" ht="11.25" customHeight="1" x14ac:dyDescent="0.25">
      <c r="A146" s="1028">
        <f>'[4]Org structure'!E146</f>
        <v>0</v>
      </c>
      <c r="B146" s="905"/>
      <c r="C146" s="1454"/>
      <c r="D146" s="1454"/>
      <c r="E146" s="2103"/>
      <c r="F146" s="2104"/>
      <c r="G146" s="1454"/>
      <c r="H146" s="1455"/>
      <c r="I146" s="2105"/>
      <c r="J146" s="1454"/>
      <c r="K146" s="2103"/>
      <c r="L146" s="73"/>
      <c r="M146" s="74"/>
      <c r="N146" s="74"/>
      <c r="O146" s="74"/>
      <c r="P146" s="74"/>
      <c r="Q146" s="74"/>
      <c r="R146" s="74"/>
      <c r="S146" s="74"/>
      <c r="T146" s="74"/>
      <c r="U146" s="74"/>
      <c r="V146" s="74"/>
      <c r="W146" s="74"/>
    </row>
    <row r="147" spans="1:23" ht="11.25" customHeight="1" x14ac:dyDescent="0.25">
      <c r="A147" s="1028">
        <f>'[4]Org structure'!E147</f>
        <v>0</v>
      </c>
      <c r="B147" s="905"/>
      <c r="C147" s="1454"/>
      <c r="D147" s="1454"/>
      <c r="E147" s="2103"/>
      <c r="F147" s="2104"/>
      <c r="G147" s="1454"/>
      <c r="H147" s="1455"/>
      <c r="I147" s="2105"/>
      <c r="J147" s="1454"/>
      <c r="K147" s="2103"/>
      <c r="L147" s="73"/>
      <c r="M147" s="74"/>
      <c r="N147" s="74"/>
      <c r="O147" s="74"/>
      <c r="P147" s="74"/>
      <c r="Q147" s="74"/>
      <c r="R147" s="74"/>
      <c r="S147" s="74"/>
      <c r="T147" s="74"/>
      <c r="U147" s="74"/>
      <c r="V147" s="74"/>
      <c r="W147" s="74"/>
    </row>
    <row r="148" spans="1:23" ht="11.25" customHeight="1" x14ac:dyDescent="0.25">
      <c r="A148" s="1028">
        <f>'[4]Org structure'!E148</f>
        <v>0</v>
      </c>
      <c r="B148" s="905"/>
      <c r="C148" s="1454"/>
      <c r="D148" s="1454"/>
      <c r="E148" s="2103"/>
      <c r="F148" s="2104"/>
      <c r="G148" s="1454"/>
      <c r="H148" s="1455"/>
      <c r="I148" s="2105"/>
      <c r="J148" s="1454"/>
      <c r="K148" s="2103"/>
      <c r="L148" s="73"/>
      <c r="M148" s="74"/>
      <c r="N148" s="74"/>
      <c r="O148" s="74"/>
      <c r="P148" s="74"/>
      <c r="Q148" s="74"/>
      <c r="R148" s="74"/>
      <c r="S148" s="74"/>
      <c r="T148" s="74"/>
      <c r="U148" s="74"/>
      <c r="V148" s="74"/>
      <c r="W148" s="74"/>
    </row>
    <row r="149" spans="1:23" ht="11.25" customHeight="1" x14ac:dyDescent="0.25">
      <c r="A149" s="1028">
        <f>'[4]Org structure'!E149</f>
        <v>0</v>
      </c>
      <c r="B149" s="905"/>
      <c r="C149" s="1454"/>
      <c r="D149" s="1454"/>
      <c r="E149" s="2103"/>
      <c r="F149" s="2104"/>
      <c r="G149" s="1454"/>
      <c r="H149" s="1455"/>
      <c r="I149" s="2105"/>
      <c r="J149" s="1454"/>
      <c r="K149" s="2103"/>
      <c r="L149" s="73"/>
      <c r="M149" s="74"/>
      <c r="N149" s="74"/>
      <c r="O149" s="74"/>
      <c r="P149" s="74"/>
      <c r="Q149" s="74"/>
      <c r="R149" s="74"/>
      <c r="S149" s="74"/>
      <c r="T149" s="74"/>
      <c r="U149" s="74"/>
      <c r="V149" s="74"/>
      <c r="W149" s="74"/>
    </row>
    <row r="150" spans="1:23" ht="11.25" customHeight="1" x14ac:dyDescent="0.25">
      <c r="A150" s="1028">
        <f>'[4]Org structure'!E150</f>
        <v>0</v>
      </c>
      <c r="B150" s="905"/>
      <c r="C150" s="1454"/>
      <c r="D150" s="1454"/>
      <c r="E150" s="2103"/>
      <c r="F150" s="2104"/>
      <c r="G150" s="1454"/>
      <c r="H150" s="1455"/>
      <c r="I150" s="2105"/>
      <c r="J150" s="1454"/>
      <c r="K150" s="2103"/>
      <c r="L150" s="73"/>
      <c r="M150" s="74"/>
      <c r="N150" s="74"/>
      <c r="O150" s="74"/>
      <c r="P150" s="74"/>
      <c r="Q150" s="74"/>
      <c r="R150" s="74"/>
      <c r="S150" s="74"/>
      <c r="T150" s="74"/>
      <c r="U150" s="74"/>
      <c r="V150" s="74"/>
      <c r="W150" s="74"/>
    </row>
    <row r="151" spans="1:23" ht="11.25" customHeight="1" x14ac:dyDescent="0.25">
      <c r="A151" s="1028">
        <f>'[4]Org structure'!E151</f>
        <v>0</v>
      </c>
      <c r="B151" s="905"/>
      <c r="C151" s="1454"/>
      <c r="D151" s="1454"/>
      <c r="E151" s="2103"/>
      <c r="F151" s="2104"/>
      <c r="G151" s="1454"/>
      <c r="H151" s="1455"/>
      <c r="I151" s="2105"/>
      <c r="J151" s="1454"/>
      <c r="K151" s="2103"/>
      <c r="L151" s="73"/>
      <c r="M151" s="74"/>
      <c r="N151" s="74"/>
      <c r="O151" s="74"/>
      <c r="P151" s="74"/>
      <c r="Q151" s="74"/>
      <c r="R151" s="74"/>
      <c r="S151" s="74"/>
      <c r="T151" s="74"/>
      <c r="U151" s="74"/>
      <c r="V151" s="74"/>
      <c r="W151" s="74"/>
    </row>
    <row r="152" spans="1:23" ht="11.25" customHeight="1" x14ac:dyDescent="0.25">
      <c r="A152" s="1028">
        <f>'[4]Org structure'!E152</f>
        <v>0</v>
      </c>
      <c r="B152" s="905"/>
      <c r="C152" s="1454"/>
      <c r="D152" s="1454"/>
      <c r="E152" s="2103"/>
      <c r="F152" s="2104"/>
      <c r="G152" s="1454"/>
      <c r="H152" s="1455"/>
      <c r="I152" s="2105"/>
      <c r="J152" s="1454"/>
      <c r="K152" s="2103"/>
      <c r="L152" s="73"/>
      <c r="M152" s="74"/>
      <c r="N152" s="74"/>
      <c r="O152" s="74"/>
      <c r="P152" s="74"/>
      <c r="Q152" s="74"/>
      <c r="R152" s="74"/>
      <c r="S152" s="74"/>
      <c r="T152" s="74"/>
      <c r="U152" s="74"/>
      <c r="V152" s="74"/>
      <c r="W152" s="74"/>
    </row>
    <row r="153" spans="1:23" ht="15" customHeight="1" x14ac:dyDescent="0.25">
      <c r="A153" s="1650" t="str">
        <f>'[4]Org structure'!A16</f>
        <v>Vote 15 - [NAME OF VOTE 15]</v>
      </c>
      <c r="B153" s="905"/>
      <c r="C153" s="849">
        <f>SUM(C154:C163)</f>
        <v>0</v>
      </c>
      <c r="D153" s="849">
        <f t="shared" ref="D153:K153" si="14">SUM(D154:D163)</f>
        <v>0</v>
      </c>
      <c r="E153" s="850">
        <f t="shared" si="14"/>
        <v>0</v>
      </c>
      <c r="F153" s="851">
        <f t="shared" si="14"/>
        <v>0</v>
      </c>
      <c r="G153" s="849">
        <f t="shared" si="14"/>
        <v>0</v>
      </c>
      <c r="H153" s="852">
        <f t="shared" si="14"/>
        <v>0</v>
      </c>
      <c r="I153" s="853">
        <f t="shared" si="14"/>
        <v>0</v>
      </c>
      <c r="J153" s="849">
        <f t="shared" si="14"/>
        <v>0</v>
      </c>
      <c r="K153" s="850">
        <f t="shared" si="14"/>
        <v>0</v>
      </c>
      <c r="L153" s="73"/>
      <c r="M153" s="74"/>
      <c r="N153" s="74"/>
      <c r="O153" s="74"/>
      <c r="P153" s="74"/>
      <c r="Q153" s="74"/>
      <c r="R153" s="74"/>
      <c r="S153" s="74"/>
      <c r="T153" s="74"/>
      <c r="U153" s="74"/>
      <c r="V153" s="74"/>
      <c r="W153" s="74"/>
    </row>
    <row r="154" spans="1:23" ht="11.25" customHeight="1" x14ac:dyDescent="0.25">
      <c r="A154" s="1028" t="str">
        <f>'[4]Org structure'!E154</f>
        <v>15.1 - [Name of sub-vote]</v>
      </c>
      <c r="B154" s="905"/>
      <c r="C154" s="1454"/>
      <c r="D154" s="1454"/>
      <c r="E154" s="2103"/>
      <c r="F154" s="2104"/>
      <c r="G154" s="1454"/>
      <c r="H154" s="1455"/>
      <c r="I154" s="2105"/>
      <c r="J154" s="1454"/>
      <c r="K154" s="2103"/>
      <c r="L154" s="73"/>
      <c r="M154" s="74"/>
      <c r="N154" s="74"/>
      <c r="O154" s="74"/>
      <c r="P154" s="74"/>
      <c r="Q154" s="74"/>
      <c r="R154" s="74"/>
      <c r="S154" s="74"/>
      <c r="T154" s="74"/>
      <c r="U154" s="74"/>
      <c r="V154" s="74"/>
      <c r="W154" s="74"/>
    </row>
    <row r="155" spans="1:23" ht="11.25" customHeight="1" x14ac:dyDescent="0.25">
      <c r="A155" s="1028">
        <f>'[4]Org structure'!E155</f>
        <v>0</v>
      </c>
      <c r="B155" s="905"/>
      <c r="C155" s="1454"/>
      <c r="D155" s="1454"/>
      <c r="E155" s="2103"/>
      <c r="F155" s="2104"/>
      <c r="G155" s="1454"/>
      <c r="H155" s="1455"/>
      <c r="I155" s="2105"/>
      <c r="J155" s="1454"/>
      <c r="K155" s="2103"/>
      <c r="L155" s="73"/>
      <c r="M155" s="74"/>
      <c r="N155" s="74"/>
      <c r="O155" s="74"/>
      <c r="P155" s="74"/>
      <c r="Q155" s="74"/>
      <c r="R155" s="74"/>
      <c r="S155" s="74"/>
      <c r="T155" s="74"/>
      <c r="U155" s="74"/>
      <c r="V155" s="74"/>
      <c r="W155" s="74"/>
    </row>
    <row r="156" spans="1:23" ht="11.25" customHeight="1" x14ac:dyDescent="0.25">
      <c r="A156" s="1028">
        <f>'[4]Org structure'!E156</f>
        <v>0</v>
      </c>
      <c r="B156" s="905"/>
      <c r="C156" s="1454"/>
      <c r="D156" s="1454"/>
      <c r="E156" s="2103"/>
      <c r="F156" s="2104"/>
      <c r="G156" s="1454"/>
      <c r="H156" s="1455"/>
      <c r="I156" s="2105"/>
      <c r="J156" s="1454"/>
      <c r="K156" s="2103"/>
      <c r="L156" s="73"/>
      <c r="M156" s="74"/>
      <c r="N156" s="74"/>
      <c r="O156" s="74"/>
      <c r="P156" s="74"/>
      <c r="Q156" s="74"/>
      <c r="R156" s="74"/>
      <c r="S156" s="74"/>
      <c r="T156" s="74"/>
      <c r="U156" s="74"/>
      <c r="V156" s="74"/>
      <c r="W156" s="74"/>
    </row>
    <row r="157" spans="1:23" ht="11.25" customHeight="1" x14ac:dyDescent="0.25">
      <c r="A157" s="1028">
        <f>'[4]Org structure'!E157</f>
        <v>0</v>
      </c>
      <c r="B157" s="905"/>
      <c r="C157" s="1454"/>
      <c r="D157" s="1454"/>
      <c r="E157" s="2103"/>
      <c r="F157" s="2104"/>
      <c r="G157" s="1454"/>
      <c r="H157" s="1455"/>
      <c r="I157" s="2105"/>
      <c r="J157" s="1454"/>
      <c r="K157" s="2103"/>
      <c r="L157" s="73"/>
      <c r="M157" s="74"/>
      <c r="N157" s="74"/>
      <c r="O157" s="74"/>
      <c r="P157" s="74"/>
      <c r="Q157" s="74"/>
      <c r="R157" s="74"/>
      <c r="S157" s="74"/>
      <c r="T157" s="74"/>
      <c r="U157" s="74"/>
      <c r="V157" s="74"/>
      <c r="W157" s="74"/>
    </row>
    <row r="158" spans="1:23" ht="11.25" customHeight="1" x14ac:dyDescent="0.25">
      <c r="A158" s="1028">
        <f>'[4]Org structure'!E158</f>
        <v>0</v>
      </c>
      <c r="B158" s="905"/>
      <c r="C158" s="1454"/>
      <c r="D158" s="1454"/>
      <c r="E158" s="2103"/>
      <c r="F158" s="2104"/>
      <c r="G158" s="1454"/>
      <c r="H158" s="1455"/>
      <c r="I158" s="2105"/>
      <c r="J158" s="1454"/>
      <c r="K158" s="2103"/>
      <c r="L158" s="73"/>
      <c r="M158" s="74"/>
      <c r="N158" s="74"/>
      <c r="O158" s="74"/>
      <c r="P158" s="74"/>
      <c r="Q158" s="74"/>
      <c r="R158" s="74"/>
      <c r="S158" s="74"/>
      <c r="T158" s="74"/>
      <c r="U158" s="74"/>
      <c r="V158" s="74"/>
      <c r="W158" s="74"/>
    </row>
    <row r="159" spans="1:23" ht="11.25" customHeight="1" x14ac:dyDescent="0.25">
      <c r="A159" s="1028">
        <f>'[4]Org structure'!E159</f>
        <v>0</v>
      </c>
      <c r="B159" s="905"/>
      <c r="C159" s="1454"/>
      <c r="D159" s="1454"/>
      <c r="E159" s="2103"/>
      <c r="F159" s="2104"/>
      <c r="G159" s="1454"/>
      <c r="H159" s="1455"/>
      <c r="I159" s="2105"/>
      <c r="J159" s="1454"/>
      <c r="K159" s="2103"/>
      <c r="L159" s="73"/>
      <c r="M159" s="74"/>
      <c r="N159" s="74"/>
      <c r="O159" s="74"/>
      <c r="P159" s="74"/>
      <c r="Q159" s="74"/>
      <c r="R159" s="74"/>
      <c r="S159" s="74"/>
      <c r="T159" s="74"/>
      <c r="U159" s="74"/>
      <c r="V159" s="74"/>
      <c r="W159" s="74"/>
    </row>
    <row r="160" spans="1:23" ht="11.25" customHeight="1" x14ac:dyDescent="0.25">
      <c r="A160" s="1028">
        <f>'[4]Org structure'!E160</f>
        <v>0</v>
      </c>
      <c r="B160" s="905"/>
      <c r="C160" s="1454"/>
      <c r="D160" s="1454"/>
      <c r="E160" s="2103"/>
      <c r="F160" s="2104"/>
      <c r="G160" s="1454"/>
      <c r="H160" s="1455"/>
      <c r="I160" s="2105"/>
      <c r="J160" s="1454"/>
      <c r="K160" s="2103"/>
      <c r="L160" s="73"/>
      <c r="M160" s="74"/>
      <c r="N160" s="74"/>
      <c r="O160" s="74"/>
      <c r="P160" s="74"/>
      <c r="Q160" s="74"/>
      <c r="R160" s="74"/>
      <c r="S160" s="74"/>
      <c r="T160" s="74"/>
      <c r="U160" s="74"/>
      <c r="V160" s="74"/>
      <c r="W160" s="74"/>
    </row>
    <row r="161" spans="1:23" ht="11.25" customHeight="1" x14ac:dyDescent="0.25">
      <c r="A161" s="1028">
        <f>'[4]Org structure'!E161</f>
        <v>0</v>
      </c>
      <c r="B161" s="905"/>
      <c r="C161" s="1454"/>
      <c r="D161" s="1454"/>
      <c r="E161" s="2103"/>
      <c r="F161" s="2104"/>
      <c r="G161" s="1454"/>
      <c r="H161" s="1455"/>
      <c r="I161" s="2105"/>
      <c r="J161" s="1454"/>
      <c r="K161" s="2103"/>
      <c r="L161" s="73"/>
      <c r="M161" s="74"/>
      <c r="N161" s="74"/>
      <c r="O161" s="74"/>
      <c r="P161" s="74"/>
      <c r="Q161" s="74"/>
      <c r="R161" s="74"/>
      <c r="S161" s="74"/>
      <c r="T161" s="74"/>
      <c r="U161" s="74"/>
      <c r="V161" s="74"/>
      <c r="W161" s="74"/>
    </row>
    <row r="162" spans="1:23" ht="11.25" customHeight="1" x14ac:dyDescent="0.25">
      <c r="A162" s="1028">
        <f>'[4]Org structure'!E162</f>
        <v>0</v>
      </c>
      <c r="B162" s="905"/>
      <c r="C162" s="1454"/>
      <c r="D162" s="1454"/>
      <c r="E162" s="2103"/>
      <c r="F162" s="2104"/>
      <c r="G162" s="1454"/>
      <c r="H162" s="1455"/>
      <c r="I162" s="2105"/>
      <c r="J162" s="1454"/>
      <c r="K162" s="2103"/>
      <c r="L162" s="73"/>
      <c r="M162" s="74"/>
      <c r="N162" s="74"/>
      <c r="O162" s="74"/>
      <c r="P162" s="74"/>
      <c r="Q162" s="74"/>
      <c r="R162" s="74"/>
      <c r="S162" s="74"/>
      <c r="T162" s="74"/>
      <c r="U162" s="74"/>
      <c r="V162" s="74"/>
      <c r="W162" s="74"/>
    </row>
    <row r="163" spans="1:23" ht="11.25" customHeight="1" x14ac:dyDescent="0.25">
      <c r="A163" s="1028">
        <f>'[4]Org structure'!E163</f>
        <v>0</v>
      </c>
      <c r="B163" s="905"/>
      <c r="C163" s="1454"/>
      <c r="D163" s="1454"/>
      <c r="E163" s="2103"/>
      <c r="F163" s="2104"/>
      <c r="G163" s="1454"/>
      <c r="H163" s="1455"/>
      <c r="I163" s="2105"/>
      <c r="J163" s="1454"/>
      <c r="K163" s="2103"/>
      <c r="L163" s="73"/>
      <c r="M163" s="74"/>
      <c r="N163" s="74"/>
      <c r="O163" s="74"/>
      <c r="P163" s="74"/>
      <c r="Q163" s="74"/>
      <c r="R163" s="74"/>
      <c r="S163" s="74"/>
      <c r="T163" s="74"/>
      <c r="U163" s="74"/>
      <c r="V163" s="74"/>
      <c r="W163" s="74"/>
    </row>
    <row r="164" spans="1:23" ht="11.25" customHeight="1" x14ac:dyDescent="0.25">
      <c r="A164" s="1072" t="s">
        <v>179</v>
      </c>
      <c r="B164" s="1045">
        <v>2</v>
      </c>
      <c r="C164" s="1073">
        <f t="shared" ref="C164:K164" si="15">C5+C16+C27+C38+C49+C60+C68+C76+C87+C98+C109+C120+C131+C142+C153</f>
        <v>178889176.97020003</v>
      </c>
      <c r="D164" s="1073">
        <f t="shared" si="15"/>
        <v>180545508</v>
      </c>
      <c r="E164" s="1074">
        <f t="shared" si="15"/>
        <v>218730213</v>
      </c>
      <c r="F164" s="1075">
        <f t="shared" si="15"/>
        <v>257174350.69</v>
      </c>
      <c r="G164" s="1073">
        <f t="shared" si="15"/>
        <v>259141861.59999996</v>
      </c>
      <c r="H164" s="1076">
        <f t="shared" si="15"/>
        <v>259141861.59999996</v>
      </c>
      <c r="I164" s="1077">
        <f t="shared" si="15"/>
        <v>261768865.41999996</v>
      </c>
      <c r="J164" s="1073">
        <f t="shared" si="15"/>
        <v>279101537.33999997</v>
      </c>
      <c r="K164" s="1074">
        <f t="shared" si="15"/>
        <v>296482729.58000004</v>
      </c>
      <c r="L164" s="77">
        <f t="shared" ref="L164:W164" si="16">SUM(L72:L75)</f>
        <v>0</v>
      </c>
      <c r="M164" s="78">
        <f t="shared" si="16"/>
        <v>0</v>
      </c>
      <c r="N164" s="78">
        <f t="shared" si="16"/>
        <v>0</v>
      </c>
      <c r="O164" s="78">
        <f t="shared" si="16"/>
        <v>0</v>
      </c>
      <c r="P164" s="78">
        <f t="shared" si="16"/>
        <v>0</v>
      </c>
      <c r="Q164" s="78">
        <f t="shared" si="16"/>
        <v>0</v>
      </c>
      <c r="R164" s="78">
        <f t="shared" si="16"/>
        <v>0</v>
      </c>
      <c r="S164" s="78">
        <f t="shared" si="16"/>
        <v>0</v>
      </c>
      <c r="T164" s="78">
        <f t="shared" si="16"/>
        <v>0</v>
      </c>
      <c r="U164" s="78">
        <f t="shared" si="16"/>
        <v>0</v>
      </c>
      <c r="V164" s="78">
        <f t="shared" si="16"/>
        <v>0</v>
      </c>
      <c r="W164" s="78">
        <f t="shared" si="16"/>
        <v>0</v>
      </c>
    </row>
    <row r="165" spans="1:23" ht="5.0999999999999996" customHeight="1" x14ac:dyDescent="0.25">
      <c r="A165" s="1099"/>
      <c r="B165" s="1100"/>
      <c r="C165" s="1101"/>
      <c r="D165" s="1101"/>
      <c r="E165" s="1102"/>
      <c r="F165" s="1103"/>
      <c r="G165" s="1101"/>
      <c r="H165" s="1104"/>
      <c r="I165" s="1105"/>
      <c r="J165" s="1101"/>
      <c r="K165" s="1102"/>
      <c r="L165" s="73"/>
      <c r="M165" s="74"/>
      <c r="N165" s="74"/>
      <c r="O165" s="74"/>
      <c r="P165" s="74"/>
      <c r="Q165" s="74"/>
      <c r="R165" s="74"/>
      <c r="S165" s="74"/>
      <c r="T165" s="74"/>
      <c r="U165" s="74"/>
      <c r="V165" s="74"/>
      <c r="W165" s="74"/>
    </row>
    <row r="166" spans="1:23" ht="11.25" customHeight="1" x14ac:dyDescent="0.25">
      <c r="A166" s="1106" t="s">
        <v>406</v>
      </c>
      <c r="B166" s="1107">
        <v>1</v>
      </c>
      <c r="C166" s="1108"/>
      <c r="D166" s="1108"/>
      <c r="E166" s="1109"/>
      <c r="F166" s="1110"/>
      <c r="G166" s="1108"/>
      <c r="H166" s="1111"/>
      <c r="I166" s="1112"/>
      <c r="J166" s="1108"/>
      <c r="K166" s="1109"/>
      <c r="L166" s="73"/>
      <c r="M166" s="74"/>
      <c r="N166" s="74"/>
      <c r="O166" s="74"/>
      <c r="P166" s="74"/>
      <c r="Q166" s="74"/>
      <c r="R166" s="74"/>
      <c r="S166" s="74"/>
      <c r="T166" s="74"/>
      <c r="U166" s="74"/>
      <c r="V166" s="74"/>
      <c r="W166" s="74"/>
    </row>
    <row r="167" spans="1:23" ht="15" customHeight="1" x14ac:dyDescent="0.25">
      <c r="A167" s="1027" t="str">
        <f t="shared" ref="A167:A224" si="17">A5</f>
        <v>Vote 1 - EXECUTIVE AND COUNCIL</v>
      </c>
      <c r="B167" s="1113"/>
      <c r="C167" s="1114">
        <f t="shared" ref="C167:K167" si="18">SUM(C168:C177)</f>
        <v>16601000</v>
      </c>
      <c r="D167" s="1114">
        <f t="shared" si="18"/>
        <v>17597060</v>
      </c>
      <c r="E167" s="1115">
        <f t="shared" si="18"/>
        <v>18697593</v>
      </c>
      <c r="F167" s="1116">
        <f t="shared" si="18"/>
        <v>27807177.469999999</v>
      </c>
      <c r="G167" s="1114">
        <f t="shared" si="18"/>
        <v>25801725.289999999</v>
      </c>
      <c r="H167" s="1117">
        <f t="shared" si="18"/>
        <v>25801725.289999999</v>
      </c>
      <c r="I167" s="1118">
        <f t="shared" si="18"/>
        <v>29096959.100000001</v>
      </c>
      <c r="J167" s="1114">
        <f t="shared" si="18"/>
        <v>28661296.645205427</v>
      </c>
      <c r="K167" s="1115">
        <f t="shared" si="18"/>
        <v>30380974.443917748</v>
      </c>
      <c r="L167" s="73"/>
      <c r="M167" s="74"/>
      <c r="N167" s="74"/>
      <c r="O167" s="74"/>
      <c r="P167" s="74"/>
      <c r="Q167" s="74"/>
      <c r="R167" s="74"/>
      <c r="S167" s="74"/>
      <c r="T167" s="74"/>
      <c r="U167" s="74"/>
      <c r="V167" s="74"/>
      <c r="W167" s="74"/>
    </row>
    <row r="168" spans="1:23" ht="11.25" customHeight="1" x14ac:dyDescent="0.25">
      <c r="A168" s="1028" t="str">
        <f t="shared" si="17"/>
        <v>1.1 - COUNCIL GENERAL</v>
      </c>
      <c r="B168" s="905"/>
      <c r="C168" s="2088">
        <v>16601000</v>
      </c>
      <c r="D168" s="2088">
        <v>17597060</v>
      </c>
      <c r="E168" s="2106">
        <v>18697593</v>
      </c>
      <c r="F168" s="2090">
        <v>27807177.469999999</v>
      </c>
      <c r="G168" s="2088">
        <v>25801725.289999999</v>
      </c>
      <c r="H168" s="2091">
        <v>25801725.289999999</v>
      </c>
      <c r="I168" s="2090">
        <v>29096959.100000001</v>
      </c>
      <c r="J168" s="2088">
        <v>28661296.645205427</v>
      </c>
      <c r="K168" s="2106">
        <v>30380974.443917748</v>
      </c>
      <c r="L168" s="73"/>
      <c r="M168" s="74"/>
      <c r="N168" s="74"/>
      <c r="O168" s="74"/>
      <c r="P168" s="74"/>
      <c r="Q168" s="74"/>
      <c r="R168" s="74"/>
      <c r="S168" s="74"/>
      <c r="T168" s="74"/>
      <c r="U168" s="74"/>
      <c r="V168" s="74"/>
      <c r="W168" s="74"/>
    </row>
    <row r="169" spans="1:23" ht="11.25" customHeight="1" x14ac:dyDescent="0.25">
      <c r="A169" s="1028">
        <f t="shared" si="17"/>
        <v>0</v>
      </c>
      <c r="B169" s="905"/>
      <c r="C169" s="2088"/>
      <c r="D169" s="2088"/>
      <c r="E169" s="2106"/>
      <c r="F169" s="2107"/>
      <c r="G169" s="2088"/>
      <c r="H169" s="2108"/>
      <c r="I169" s="2090"/>
      <c r="J169" s="2088"/>
      <c r="K169" s="2106"/>
      <c r="L169" s="73"/>
      <c r="M169" s="74"/>
      <c r="N169" s="74"/>
      <c r="O169" s="74"/>
      <c r="P169" s="74"/>
      <c r="Q169" s="74"/>
      <c r="R169" s="74"/>
      <c r="S169" s="74"/>
      <c r="T169" s="74"/>
      <c r="U169" s="74"/>
      <c r="V169" s="74"/>
      <c r="W169" s="74"/>
    </row>
    <row r="170" spans="1:23" ht="11.25" customHeight="1" x14ac:dyDescent="0.25">
      <c r="A170" s="1028">
        <f t="shared" si="17"/>
        <v>0</v>
      </c>
      <c r="B170" s="905"/>
      <c r="C170" s="2088"/>
      <c r="D170" s="2088"/>
      <c r="E170" s="2106"/>
      <c r="F170" s="2107"/>
      <c r="G170" s="2088"/>
      <c r="H170" s="2108"/>
      <c r="I170" s="2090"/>
      <c r="J170" s="2088"/>
      <c r="K170" s="2106"/>
      <c r="L170" s="73"/>
      <c r="M170" s="74"/>
      <c r="N170" s="74"/>
      <c r="O170" s="74"/>
      <c r="P170" s="74"/>
      <c r="Q170" s="74"/>
      <c r="R170" s="74"/>
      <c r="S170" s="74"/>
      <c r="T170" s="74"/>
      <c r="U170" s="74"/>
      <c r="V170" s="74"/>
      <c r="W170" s="74"/>
    </row>
    <row r="171" spans="1:23" ht="11.25" customHeight="1" x14ac:dyDescent="0.25">
      <c r="A171" s="1028">
        <f t="shared" si="17"/>
        <v>0</v>
      </c>
      <c r="B171" s="905"/>
      <c r="C171" s="2088"/>
      <c r="D171" s="2088"/>
      <c r="E171" s="2106"/>
      <c r="F171" s="2107"/>
      <c r="G171" s="2088"/>
      <c r="H171" s="2108"/>
      <c r="I171" s="2090"/>
      <c r="J171" s="2088"/>
      <c r="K171" s="2106"/>
      <c r="L171" s="73"/>
      <c r="M171" s="74"/>
      <c r="N171" s="74"/>
      <c r="O171" s="74"/>
      <c r="P171" s="74"/>
      <c r="Q171" s="74"/>
      <c r="R171" s="74"/>
      <c r="S171" s="74"/>
      <c r="T171" s="74"/>
      <c r="U171" s="74"/>
      <c r="V171" s="74"/>
      <c r="W171" s="74"/>
    </row>
    <row r="172" spans="1:23" ht="11.25" customHeight="1" x14ac:dyDescent="0.25">
      <c r="A172" s="1028">
        <f t="shared" si="17"/>
        <v>0</v>
      </c>
      <c r="B172" s="905"/>
      <c r="C172" s="2088"/>
      <c r="D172" s="2088"/>
      <c r="E172" s="2106"/>
      <c r="F172" s="2107"/>
      <c r="G172" s="2088"/>
      <c r="H172" s="2108"/>
      <c r="I172" s="2090"/>
      <c r="J172" s="2088"/>
      <c r="K172" s="2106"/>
      <c r="L172" s="73"/>
      <c r="M172" s="74"/>
      <c r="N172" s="74"/>
      <c r="O172" s="74"/>
      <c r="P172" s="74"/>
      <c r="Q172" s="74"/>
      <c r="R172" s="74"/>
      <c r="S172" s="74"/>
      <c r="T172" s="74"/>
      <c r="U172" s="74"/>
      <c r="V172" s="74"/>
      <c r="W172" s="74"/>
    </row>
    <row r="173" spans="1:23" ht="11.25" customHeight="1" x14ac:dyDescent="0.25">
      <c r="A173" s="1028">
        <f t="shared" si="17"/>
        <v>0</v>
      </c>
      <c r="B173" s="905"/>
      <c r="C173" s="2088"/>
      <c r="D173" s="2088"/>
      <c r="E173" s="2106"/>
      <c r="F173" s="2107"/>
      <c r="G173" s="2088"/>
      <c r="H173" s="2108"/>
      <c r="I173" s="2090"/>
      <c r="J173" s="2088"/>
      <c r="K173" s="2106"/>
      <c r="L173" s="73"/>
      <c r="M173" s="74"/>
      <c r="N173" s="74"/>
      <c r="O173" s="74"/>
      <c r="P173" s="74"/>
      <c r="Q173" s="74"/>
      <c r="R173" s="74"/>
      <c r="S173" s="74"/>
      <c r="T173" s="74"/>
      <c r="U173" s="74"/>
      <c r="V173" s="74"/>
      <c r="W173" s="74"/>
    </row>
    <row r="174" spans="1:23" ht="11.25" customHeight="1" x14ac:dyDescent="0.25">
      <c r="A174" s="1028">
        <f t="shared" si="17"/>
        <v>0</v>
      </c>
      <c r="B174" s="905"/>
      <c r="C174" s="2088"/>
      <c r="D174" s="2088"/>
      <c r="E174" s="2106"/>
      <c r="F174" s="2107"/>
      <c r="G174" s="2088"/>
      <c r="H174" s="2108"/>
      <c r="I174" s="2090"/>
      <c r="J174" s="2088"/>
      <c r="K174" s="2106"/>
      <c r="L174" s="73"/>
      <c r="M174" s="74"/>
      <c r="N174" s="74"/>
      <c r="O174" s="74"/>
      <c r="P174" s="74"/>
      <c r="Q174" s="74"/>
      <c r="R174" s="74"/>
      <c r="S174" s="74"/>
      <c r="T174" s="74"/>
      <c r="U174" s="74"/>
      <c r="V174" s="74"/>
      <c r="W174" s="74"/>
    </row>
    <row r="175" spans="1:23" ht="11.25" customHeight="1" x14ac:dyDescent="0.25">
      <c r="A175" s="1028">
        <f t="shared" si="17"/>
        <v>0</v>
      </c>
      <c r="B175" s="905"/>
      <c r="C175" s="2088"/>
      <c r="D175" s="2088"/>
      <c r="E175" s="2106"/>
      <c r="F175" s="2107"/>
      <c r="G175" s="2088"/>
      <c r="H175" s="2108"/>
      <c r="I175" s="2090"/>
      <c r="J175" s="2088"/>
      <c r="K175" s="2106"/>
      <c r="L175" s="73"/>
      <c r="M175" s="74"/>
      <c r="N175" s="74"/>
      <c r="O175" s="74"/>
      <c r="P175" s="74"/>
      <c r="Q175" s="74"/>
      <c r="R175" s="74"/>
      <c r="S175" s="74"/>
      <c r="T175" s="74"/>
      <c r="U175" s="74"/>
      <c r="V175" s="74"/>
      <c r="W175" s="74"/>
    </row>
    <row r="176" spans="1:23" ht="11.25" customHeight="1" x14ac:dyDescent="0.25">
      <c r="A176" s="1028">
        <f t="shared" si="17"/>
        <v>0</v>
      </c>
      <c r="B176" s="905"/>
      <c r="C176" s="2088"/>
      <c r="D176" s="2088"/>
      <c r="E176" s="2106"/>
      <c r="F176" s="2107"/>
      <c r="G176" s="2088"/>
      <c r="H176" s="2108"/>
      <c r="I176" s="2090"/>
      <c r="J176" s="2088"/>
      <c r="K176" s="2106"/>
      <c r="L176" s="73"/>
      <c r="M176" s="74"/>
      <c r="N176" s="74"/>
      <c r="O176" s="74"/>
      <c r="P176" s="74"/>
      <c r="Q176" s="74"/>
      <c r="R176" s="74"/>
      <c r="S176" s="74"/>
      <c r="T176" s="74"/>
      <c r="U176" s="74"/>
      <c r="V176" s="74"/>
      <c r="W176" s="74"/>
    </row>
    <row r="177" spans="1:23" ht="11.25" customHeight="1" x14ac:dyDescent="0.25">
      <c r="A177" s="1028">
        <f t="shared" si="17"/>
        <v>0</v>
      </c>
      <c r="B177" s="905"/>
      <c r="C177" s="2088"/>
      <c r="D177" s="2088"/>
      <c r="E177" s="2106"/>
      <c r="F177" s="2107"/>
      <c r="G177" s="2088"/>
      <c r="H177" s="2108"/>
      <c r="I177" s="2090"/>
      <c r="J177" s="2088"/>
      <c r="K177" s="2106"/>
      <c r="L177" s="73"/>
      <c r="M177" s="74"/>
      <c r="N177" s="74"/>
      <c r="O177" s="74"/>
      <c r="P177" s="74"/>
      <c r="Q177" s="74"/>
      <c r="R177" s="74"/>
      <c r="S177" s="74"/>
      <c r="T177" s="74"/>
      <c r="U177" s="74"/>
      <c r="V177" s="74"/>
      <c r="W177" s="74"/>
    </row>
    <row r="178" spans="1:23" ht="15" customHeight="1" x14ac:dyDescent="0.25">
      <c r="A178" s="1027" t="str">
        <f t="shared" si="17"/>
        <v>Vote 2 - MUNICIPAL MANAGER</v>
      </c>
      <c r="B178" s="917"/>
      <c r="C178" s="849">
        <f>SUM(C179:C188)</f>
        <v>8533000</v>
      </c>
      <c r="D178" s="849">
        <f>SUM(D179:D188)</f>
        <v>9044980</v>
      </c>
      <c r="E178" s="850">
        <f t="shared" ref="E178:K178" si="19">SUM(E179:E188)</f>
        <v>9587678.8000000007</v>
      </c>
      <c r="F178" s="851">
        <f t="shared" si="19"/>
        <v>8135875.9699999997</v>
      </c>
      <c r="G178" s="849">
        <f t="shared" si="19"/>
        <v>8197227.21</v>
      </c>
      <c r="H178" s="852">
        <f t="shared" si="19"/>
        <v>8197227.21</v>
      </c>
      <c r="I178" s="853">
        <f t="shared" si="19"/>
        <v>4414067.4800000004</v>
      </c>
      <c r="J178" s="849">
        <f t="shared" si="19"/>
        <v>4678911.5303726271</v>
      </c>
      <c r="K178" s="850">
        <f t="shared" si="19"/>
        <v>4959646.2221949855</v>
      </c>
      <c r="L178" s="86"/>
      <c r="M178" s="87"/>
      <c r="N178" s="87"/>
      <c r="O178" s="87"/>
      <c r="P178" s="87"/>
      <c r="Q178" s="87"/>
      <c r="R178" s="87"/>
      <c r="S178" s="87"/>
      <c r="T178" s="87"/>
      <c r="U178" s="87"/>
      <c r="V178" s="87"/>
      <c r="W178" s="87"/>
    </row>
    <row r="179" spans="1:23" ht="11.25" customHeight="1" x14ac:dyDescent="0.25">
      <c r="A179" s="1028" t="str">
        <f t="shared" si="17"/>
        <v>2.1 - MUNICIPAL MANAGER</v>
      </c>
      <c r="B179" s="905"/>
      <c r="C179" s="2088">
        <v>3349000</v>
      </c>
      <c r="D179" s="2088">
        <v>3549940</v>
      </c>
      <c r="E179" s="2106">
        <v>3762936.4</v>
      </c>
      <c r="F179" s="2090">
        <v>3628582.62</v>
      </c>
      <c r="G179" s="2088">
        <v>3898473.51</v>
      </c>
      <c r="H179" s="2091">
        <v>3898473.51</v>
      </c>
      <c r="I179" s="2090">
        <v>4414067.4800000004</v>
      </c>
      <c r="J179" s="2088">
        <v>4678911.5303726271</v>
      </c>
      <c r="K179" s="2106">
        <v>4959646.2221949855</v>
      </c>
      <c r="L179" s="86"/>
      <c r="M179" s="87"/>
      <c r="N179" s="87"/>
      <c r="O179" s="87"/>
      <c r="P179" s="87"/>
      <c r="Q179" s="87"/>
      <c r="R179" s="87"/>
      <c r="S179" s="87"/>
      <c r="T179" s="87"/>
      <c r="U179" s="87"/>
      <c r="V179" s="87"/>
      <c r="W179" s="87"/>
    </row>
    <row r="180" spans="1:23" ht="11.25" customHeight="1" x14ac:dyDescent="0.25">
      <c r="A180" s="1028" t="str">
        <f t="shared" si="17"/>
        <v>2.2 - URBAN RENEWAL</v>
      </c>
      <c r="B180" s="905"/>
      <c r="C180" s="2088">
        <v>5184000</v>
      </c>
      <c r="D180" s="2088">
        <v>5495040</v>
      </c>
      <c r="E180" s="2106">
        <v>5824742.4000000004</v>
      </c>
      <c r="F180" s="2090">
        <v>4507293.3499999996</v>
      </c>
      <c r="G180" s="2088">
        <v>4298753.7</v>
      </c>
      <c r="H180" s="2091">
        <v>4298753.7</v>
      </c>
      <c r="I180" s="2090"/>
      <c r="J180" s="2088"/>
      <c r="K180" s="2106"/>
      <c r="L180" s="86"/>
      <c r="M180" s="87"/>
      <c r="N180" s="87"/>
      <c r="O180" s="87"/>
      <c r="P180" s="87"/>
      <c r="Q180" s="87"/>
      <c r="R180" s="87"/>
      <c r="S180" s="87"/>
      <c r="T180" s="87"/>
      <c r="U180" s="87"/>
      <c r="V180" s="87"/>
      <c r="W180" s="87"/>
    </row>
    <row r="181" spans="1:23" ht="11.25" customHeight="1" x14ac:dyDescent="0.25">
      <c r="A181" s="1028">
        <f t="shared" si="17"/>
        <v>0</v>
      </c>
      <c r="B181" s="905"/>
      <c r="C181" s="2088"/>
      <c r="D181" s="2088"/>
      <c r="E181" s="2106"/>
      <c r="F181" s="2107"/>
      <c r="G181" s="2088"/>
      <c r="H181" s="2108"/>
      <c r="I181" s="2090"/>
      <c r="J181" s="2088"/>
      <c r="K181" s="2106"/>
      <c r="L181" s="86"/>
      <c r="M181" s="87"/>
      <c r="N181" s="87"/>
      <c r="O181" s="87"/>
      <c r="P181" s="87"/>
      <c r="Q181" s="87"/>
      <c r="R181" s="87"/>
      <c r="S181" s="87"/>
      <c r="T181" s="87"/>
      <c r="U181" s="87"/>
      <c r="V181" s="87"/>
      <c r="W181" s="87"/>
    </row>
    <row r="182" spans="1:23" ht="11.25" customHeight="1" x14ac:dyDescent="0.25">
      <c r="A182" s="1028">
        <f t="shared" si="17"/>
        <v>0</v>
      </c>
      <c r="B182" s="905"/>
      <c r="C182" s="2088"/>
      <c r="D182" s="2088"/>
      <c r="E182" s="2106"/>
      <c r="F182" s="2107"/>
      <c r="G182" s="2088"/>
      <c r="H182" s="2108"/>
      <c r="I182" s="2090"/>
      <c r="J182" s="2088"/>
      <c r="K182" s="2106"/>
      <c r="L182" s="86"/>
      <c r="M182" s="87"/>
      <c r="N182" s="87"/>
      <c r="O182" s="87"/>
      <c r="P182" s="87"/>
      <c r="Q182" s="87"/>
      <c r="R182" s="87"/>
      <c r="S182" s="87"/>
      <c r="T182" s="87"/>
      <c r="U182" s="87"/>
      <c r="V182" s="87"/>
      <c r="W182" s="87"/>
    </row>
    <row r="183" spans="1:23" ht="11.25" customHeight="1" x14ac:dyDescent="0.25">
      <c r="A183" s="1028">
        <f t="shared" si="17"/>
        <v>0</v>
      </c>
      <c r="B183" s="905"/>
      <c r="C183" s="2088"/>
      <c r="D183" s="2088"/>
      <c r="E183" s="2106"/>
      <c r="F183" s="2107"/>
      <c r="G183" s="2088"/>
      <c r="H183" s="2108"/>
      <c r="I183" s="2090"/>
      <c r="J183" s="2088"/>
      <c r="K183" s="2106"/>
      <c r="L183" s="86"/>
      <c r="M183" s="87"/>
      <c r="N183" s="87"/>
      <c r="O183" s="87"/>
      <c r="P183" s="87"/>
      <c r="Q183" s="87"/>
      <c r="R183" s="87"/>
      <c r="S183" s="87"/>
      <c r="T183" s="87"/>
      <c r="U183" s="87"/>
      <c r="V183" s="87"/>
      <c r="W183" s="87"/>
    </row>
    <row r="184" spans="1:23" ht="11.25" customHeight="1" x14ac:dyDescent="0.25">
      <c r="A184" s="1028">
        <f t="shared" si="17"/>
        <v>0</v>
      </c>
      <c r="B184" s="905"/>
      <c r="C184" s="2088"/>
      <c r="D184" s="2088"/>
      <c r="E184" s="2106"/>
      <c r="F184" s="2107"/>
      <c r="G184" s="2088"/>
      <c r="H184" s="2108"/>
      <c r="I184" s="2090"/>
      <c r="J184" s="2088"/>
      <c r="K184" s="2106"/>
      <c r="L184" s="86"/>
      <c r="M184" s="87"/>
      <c r="N184" s="87"/>
      <c r="O184" s="87"/>
      <c r="P184" s="87"/>
      <c r="Q184" s="87"/>
      <c r="R184" s="87"/>
      <c r="S184" s="87"/>
      <c r="T184" s="87"/>
      <c r="U184" s="87"/>
      <c r="V184" s="87"/>
      <c r="W184" s="87"/>
    </row>
    <row r="185" spans="1:23" ht="11.25" customHeight="1" x14ac:dyDescent="0.25">
      <c r="A185" s="1028">
        <f t="shared" si="17"/>
        <v>0</v>
      </c>
      <c r="B185" s="905"/>
      <c r="C185" s="2088"/>
      <c r="D185" s="2088"/>
      <c r="E185" s="2106"/>
      <c r="F185" s="2107"/>
      <c r="G185" s="2088"/>
      <c r="H185" s="2108"/>
      <c r="I185" s="2090"/>
      <c r="J185" s="2088"/>
      <c r="K185" s="2106"/>
      <c r="L185" s="86"/>
      <c r="M185" s="87"/>
      <c r="N185" s="87"/>
      <c r="O185" s="87"/>
      <c r="P185" s="87"/>
      <c r="Q185" s="87"/>
      <c r="R185" s="87"/>
      <c r="S185" s="87"/>
      <c r="T185" s="87"/>
      <c r="U185" s="87"/>
      <c r="V185" s="87"/>
      <c r="W185" s="87"/>
    </row>
    <row r="186" spans="1:23" ht="11.25" customHeight="1" x14ac:dyDescent="0.25">
      <c r="A186" s="1028">
        <f t="shared" si="17"/>
        <v>0</v>
      </c>
      <c r="B186" s="905"/>
      <c r="C186" s="2088"/>
      <c r="D186" s="2088"/>
      <c r="E186" s="2106"/>
      <c r="F186" s="2107"/>
      <c r="G186" s="2088"/>
      <c r="H186" s="2108"/>
      <c r="I186" s="2090"/>
      <c r="J186" s="2088"/>
      <c r="K186" s="2106"/>
      <c r="L186" s="86"/>
      <c r="M186" s="87"/>
      <c r="N186" s="87"/>
      <c r="O186" s="87"/>
      <c r="P186" s="87"/>
      <c r="Q186" s="87"/>
      <c r="R186" s="87"/>
      <c r="S186" s="87"/>
      <c r="T186" s="87"/>
      <c r="U186" s="87"/>
      <c r="V186" s="87"/>
      <c r="W186" s="87"/>
    </row>
    <row r="187" spans="1:23" ht="11.25" customHeight="1" x14ac:dyDescent="0.25">
      <c r="A187" s="1028">
        <f t="shared" si="17"/>
        <v>0</v>
      </c>
      <c r="B187" s="905"/>
      <c r="C187" s="2088"/>
      <c r="D187" s="2088"/>
      <c r="E187" s="2106"/>
      <c r="F187" s="2107"/>
      <c r="G187" s="2088"/>
      <c r="H187" s="2108"/>
      <c r="I187" s="2090"/>
      <c r="J187" s="2088"/>
      <c r="K187" s="2106"/>
      <c r="L187" s="86"/>
      <c r="M187" s="87"/>
      <c r="N187" s="87"/>
      <c r="O187" s="87"/>
      <c r="P187" s="87"/>
      <c r="Q187" s="87"/>
      <c r="R187" s="87"/>
      <c r="S187" s="87"/>
      <c r="T187" s="87"/>
      <c r="U187" s="87"/>
      <c r="V187" s="87"/>
      <c r="W187" s="87"/>
    </row>
    <row r="188" spans="1:23" ht="11.25" customHeight="1" x14ac:dyDescent="0.25">
      <c r="A188" s="1028">
        <f t="shared" si="17"/>
        <v>0</v>
      </c>
      <c r="B188" s="905"/>
      <c r="C188" s="2088"/>
      <c r="D188" s="2088"/>
      <c r="E188" s="2106"/>
      <c r="F188" s="2107"/>
      <c r="G188" s="2088"/>
      <c r="H188" s="2108"/>
      <c r="I188" s="2090"/>
      <c r="J188" s="2088"/>
      <c r="K188" s="2106"/>
      <c r="L188" s="86"/>
      <c r="M188" s="87"/>
      <c r="N188" s="87"/>
      <c r="O188" s="87"/>
      <c r="P188" s="87"/>
      <c r="Q188" s="87"/>
      <c r="R188" s="87"/>
      <c r="S188" s="87"/>
      <c r="T188" s="87"/>
      <c r="U188" s="87"/>
      <c r="V188" s="87"/>
      <c r="W188" s="87"/>
    </row>
    <row r="189" spans="1:23" ht="15" customHeight="1" x14ac:dyDescent="0.25">
      <c r="A189" s="1027" t="str">
        <f t="shared" si="17"/>
        <v>Vote 3 - FINANCE</v>
      </c>
      <c r="B189" s="917"/>
      <c r="C189" s="849">
        <f t="shared" ref="C189:K189" si="20">SUM(C190:C199)</f>
        <v>41971770.843000002</v>
      </c>
      <c r="D189" s="849">
        <f t="shared" si="20"/>
        <v>47264831.979999997</v>
      </c>
      <c r="E189" s="850">
        <f t="shared" si="20"/>
        <v>56788387.398800001</v>
      </c>
      <c r="F189" s="851">
        <f t="shared" si="20"/>
        <v>82279798.849999994</v>
      </c>
      <c r="G189" s="849">
        <f t="shared" si="20"/>
        <v>82558732.519999996</v>
      </c>
      <c r="H189" s="852">
        <f t="shared" si="20"/>
        <v>82558732.519999996</v>
      </c>
      <c r="I189" s="853">
        <f t="shared" si="20"/>
        <v>87598437.310000002</v>
      </c>
      <c r="J189" s="849">
        <f t="shared" si="20"/>
        <v>93080743.546974674</v>
      </c>
      <c r="K189" s="850">
        <f t="shared" si="20"/>
        <v>98791888.159793183</v>
      </c>
      <c r="L189" s="86"/>
      <c r="M189" s="87"/>
      <c r="N189" s="87"/>
      <c r="O189" s="87"/>
      <c r="P189" s="87"/>
      <c r="Q189" s="87"/>
      <c r="R189" s="87"/>
      <c r="S189" s="87"/>
      <c r="T189" s="87"/>
      <c r="U189" s="87"/>
      <c r="V189" s="87"/>
      <c r="W189" s="87"/>
    </row>
    <row r="190" spans="1:23" ht="11.25" customHeight="1" x14ac:dyDescent="0.25">
      <c r="A190" s="1028" t="str">
        <f t="shared" si="17"/>
        <v>3.1 - FINANCE</v>
      </c>
      <c r="B190" s="905"/>
      <c r="C190" s="2088">
        <v>41103337.843000002</v>
      </c>
      <c r="D190" s="2088">
        <v>46244293</v>
      </c>
      <c r="E190" s="2106">
        <v>55812616.079999998</v>
      </c>
      <c r="F190" s="2107">
        <v>74092911.950000003</v>
      </c>
      <c r="G190" s="2088">
        <v>75191617.659999996</v>
      </c>
      <c r="H190" s="2088">
        <v>75191617.659999996</v>
      </c>
      <c r="I190" s="2090">
        <v>80497689.799999997</v>
      </c>
      <c r="J190" s="2088">
        <v>85553951.191946045</v>
      </c>
      <c r="K190" s="2106">
        <v>90813488.263462812</v>
      </c>
      <c r="L190" s="86"/>
      <c r="M190" s="87"/>
      <c r="N190" s="87"/>
      <c r="O190" s="87"/>
      <c r="P190" s="87"/>
      <c r="Q190" s="87"/>
      <c r="R190" s="87"/>
      <c r="S190" s="87"/>
      <c r="T190" s="87"/>
      <c r="U190" s="87"/>
      <c r="V190" s="87"/>
      <c r="W190" s="87"/>
    </row>
    <row r="191" spans="1:23" ht="11.25" customHeight="1" x14ac:dyDescent="0.25">
      <c r="A191" s="1028" t="str">
        <f t="shared" si="17"/>
        <v>3.2 - STORES</v>
      </c>
      <c r="B191" s="905"/>
      <c r="C191" s="2088">
        <v>57000</v>
      </c>
      <c r="D191" s="2088">
        <v>60420</v>
      </c>
      <c r="E191" s="2106">
        <v>64045.2</v>
      </c>
      <c r="F191" s="2107">
        <v>1069830.8799999999</v>
      </c>
      <c r="G191" s="2088">
        <v>475812.7</v>
      </c>
      <c r="H191" s="2088">
        <v>475812.7</v>
      </c>
      <c r="I191" s="2090">
        <v>561520.75</v>
      </c>
      <c r="J191" s="2088">
        <v>595211.9907903584</v>
      </c>
      <c r="K191" s="2106">
        <v>630924.71023777989</v>
      </c>
      <c r="L191" s="86"/>
      <c r="M191" s="87"/>
      <c r="N191" s="87"/>
      <c r="O191" s="87"/>
      <c r="P191" s="87"/>
      <c r="Q191" s="87"/>
      <c r="R191" s="87"/>
      <c r="S191" s="87"/>
      <c r="T191" s="87"/>
      <c r="U191" s="87"/>
      <c r="V191" s="87"/>
      <c r="W191" s="87"/>
    </row>
    <row r="192" spans="1:23" ht="11.25" customHeight="1" x14ac:dyDescent="0.25">
      <c r="A192" s="1028" t="str">
        <f t="shared" si="17"/>
        <v>3.3 - FLEET</v>
      </c>
      <c r="B192" s="905"/>
      <c r="C192" s="2088">
        <v>811433</v>
      </c>
      <c r="D192" s="2088">
        <v>960118.98</v>
      </c>
      <c r="E192" s="2106">
        <v>911726.11880000005</v>
      </c>
      <c r="F192" s="2107">
        <v>7117056.0199999996</v>
      </c>
      <c r="G192" s="2088">
        <v>6891302.1600000001</v>
      </c>
      <c r="H192" s="2088">
        <v>6891302.1600000001</v>
      </c>
      <c r="I192" s="2090">
        <v>6539226.7599999998</v>
      </c>
      <c r="J192" s="2088">
        <v>6931580.3642382799</v>
      </c>
      <c r="K192" s="2106">
        <v>7347475.1860925797</v>
      </c>
      <c r="L192" s="86"/>
      <c r="M192" s="87"/>
      <c r="N192" s="87"/>
      <c r="O192" s="87"/>
      <c r="P192" s="87"/>
      <c r="Q192" s="87"/>
      <c r="R192" s="87"/>
      <c r="S192" s="87"/>
      <c r="T192" s="87"/>
      <c r="U192" s="87"/>
      <c r="V192" s="87"/>
      <c r="W192" s="87"/>
    </row>
    <row r="193" spans="1:23" ht="11.25" customHeight="1" x14ac:dyDescent="0.25">
      <c r="A193" s="1028">
        <f t="shared" si="17"/>
        <v>0</v>
      </c>
      <c r="B193" s="905"/>
      <c r="C193" s="2088"/>
      <c r="D193" s="2088"/>
      <c r="E193" s="2106"/>
      <c r="F193" s="2107"/>
      <c r="G193" s="2088"/>
      <c r="H193" s="2108"/>
      <c r="I193" s="2090"/>
      <c r="J193" s="2088"/>
      <c r="K193" s="2106"/>
      <c r="L193" s="86"/>
      <c r="M193" s="87"/>
      <c r="N193" s="87"/>
      <c r="O193" s="87"/>
      <c r="P193" s="87"/>
      <c r="Q193" s="87"/>
      <c r="R193" s="87"/>
      <c r="S193" s="87"/>
      <c r="T193" s="87"/>
      <c r="U193" s="87"/>
      <c r="V193" s="87"/>
      <c r="W193" s="87"/>
    </row>
    <row r="194" spans="1:23" ht="11.25" customHeight="1" x14ac:dyDescent="0.25">
      <c r="A194" s="1028">
        <f t="shared" si="17"/>
        <v>0</v>
      </c>
      <c r="B194" s="905"/>
      <c r="C194" s="2088"/>
      <c r="D194" s="2088"/>
      <c r="E194" s="2106"/>
      <c r="F194" s="2107"/>
      <c r="G194" s="2088"/>
      <c r="H194" s="2108"/>
      <c r="I194" s="2090"/>
      <c r="J194" s="2088"/>
      <c r="K194" s="2106"/>
      <c r="L194" s="86"/>
      <c r="M194" s="87"/>
      <c r="N194" s="87"/>
      <c r="O194" s="87"/>
      <c r="P194" s="87"/>
      <c r="Q194" s="87"/>
      <c r="R194" s="87"/>
      <c r="S194" s="87"/>
      <c r="T194" s="87"/>
      <c r="U194" s="87"/>
      <c r="V194" s="87"/>
      <c r="W194" s="87"/>
    </row>
    <row r="195" spans="1:23" ht="11.25" customHeight="1" x14ac:dyDescent="0.25">
      <c r="A195" s="1028">
        <f t="shared" si="17"/>
        <v>0</v>
      </c>
      <c r="B195" s="905"/>
      <c r="C195" s="912"/>
      <c r="D195" s="912"/>
      <c r="E195" s="913"/>
      <c r="F195" s="914"/>
      <c r="G195" s="912"/>
      <c r="H195" s="915"/>
      <c r="I195" s="916"/>
      <c r="J195" s="912"/>
      <c r="K195" s="913"/>
      <c r="L195" s="86"/>
      <c r="M195" s="87"/>
      <c r="N195" s="87"/>
      <c r="O195" s="87"/>
      <c r="P195" s="87"/>
      <c r="Q195" s="87"/>
      <c r="R195" s="87"/>
      <c r="S195" s="87"/>
      <c r="T195" s="87"/>
      <c r="U195" s="87"/>
      <c r="V195" s="87"/>
      <c r="W195" s="87"/>
    </row>
    <row r="196" spans="1:23" ht="11.25" customHeight="1" x14ac:dyDescent="0.25">
      <c r="A196" s="1028">
        <f t="shared" si="17"/>
        <v>0</v>
      </c>
      <c r="B196" s="905"/>
      <c r="C196" s="912"/>
      <c r="D196" s="912"/>
      <c r="E196" s="913"/>
      <c r="F196" s="914"/>
      <c r="G196" s="912"/>
      <c r="H196" s="915"/>
      <c r="I196" s="916"/>
      <c r="J196" s="912"/>
      <c r="K196" s="913"/>
      <c r="L196" s="86"/>
      <c r="M196" s="87"/>
      <c r="N196" s="87"/>
      <c r="O196" s="87"/>
      <c r="P196" s="87"/>
      <c r="Q196" s="87"/>
      <c r="R196" s="87"/>
      <c r="S196" s="87"/>
      <c r="T196" s="87"/>
      <c r="U196" s="87"/>
      <c r="V196" s="87"/>
      <c r="W196" s="87"/>
    </row>
    <row r="197" spans="1:23" ht="11.25" customHeight="1" x14ac:dyDescent="0.25">
      <c r="A197" s="1028">
        <f t="shared" si="17"/>
        <v>0</v>
      </c>
      <c r="B197" s="905"/>
      <c r="C197" s="912"/>
      <c r="D197" s="912"/>
      <c r="E197" s="913"/>
      <c r="F197" s="914"/>
      <c r="G197" s="912"/>
      <c r="H197" s="915"/>
      <c r="I197" s="916"/>
      <c r="J197" s="912"/>
      <c r="K197" s="913"/>
      <c r="L197" s="86"/>
      <c r="M197" s="87"/>
      <c r="N197" s="87"/>
      <c r="O197" s="87"/>
      <c r="P197" s="87"/>
      <c r="Q197" s="87"/>
      <c r="R197" s="87"/>
      <c r="S197" s="87"/>
      <c r="T197" s="87"/>
      <c r="U197" s="87"/>
      <c r="V197" s="87"/>
      <c r="W197" s="87"/>
    </row>
    <row r="198" spans="1:23" ht="11.25" customHeight="1" x14ac:dyDescent="0.25">
      <c r="A198" s="1028">
        <f t="shared" si="17"/>
        <v>0</v>
      </c>
      <c r="B198" s="905"/>
      <c r="C198" s="912"/>
      <c r="D198" s="912"/>
      <c r="E198" s="913"/>
      <c r="F198" s="914"/>
      <c r="G198" s="912"/>
      <c r="H198" s="915"/>
      <c r="I198" s="916"/>
      <c r="J198" s="912"/>
      <c r="K198" s="913"/>
      <c r="L198" s="86"/>
      <c r="M198" s="87"/>
      <c r="N198" s="87"/>
      <c r="O198" s="87"/>
      <c r="P198" s="87"/>
      <c r="Q198" s="87"/>
      <c r="R198" s="87"/>
      <c r="S198" s="87"/>
      <c r="T198" s="87"/>
      <c r="U198" s="87"/>
      <c r="V198" s="87"/>
      <c r="W198" s="87"/>
    </row>
    <row r="199" spans="1:23" ht="11.25" customHeight="1" x14ac:dyDescent="0.25">
      <c r="A199" s="1028">
        <f t="shared" si="17"/>
        <v>0</v>
      </c>
      <c r="B199" s="905"/>
      <c r="C199" s="912"/>
      <c r="D199" s="912"/>
      <c r="E199" s="913"/>
      <c r="F199" s="914"/>
      <c r="G199" s="912"/>
      <c r="H199" s="915"/>
      <c r="I199" s="916"/>
      <c r="J199" s="912"/>
      <c r="K199" s="913"/>
      <c r="L199" s="86"/>
      <c r="M199" s="87"/>
      <c r="N199" s="87"/>
      <c r="O199" s="87"/>
      <c r="P199" s="87"/>
      <c r="Q199" s="87"/>
      <c r="R199" s="87"/>
      <c r="S199" s="87"/>
      <c r="T199" s="87"/>
      <c r="U199" s="87"/>
      <c r="V199" s="87"/>
      <c r="W199" s="87"/>
    </row>
    <row r="200" spans="1:23" ht="15" customHeight="1" x14ac:dyDescent="0.25">
      <c r="A200" s="1027" t="str">
        <f t="shared" si="17"/>
        <v>Vote 4 - CORPORATE SERVICES MANAGEMENT</v>
      </c>
      <c r="B200" s="917"/>
      <c r="C200" s="849">
        <f t="shared" ref="C200:K200" si="21">SUM(C201:C210)</f>
        <v>15175000</v>
      </c>
      <c r="D200" s="849">
        <f t="shared" si="21"/>
        <v>18385500</v>
      </c>
      <c r="E200" s="850">
        <f t="shared" si="21"/>
        <v>20923074.609999999</v>
      </c>
      <c r="F200" s="851">
        <f t="shared" si="21"/>
        <v>23294087.07</v>
      </c>
      <c r="G200" s="849">
        <f t="shared" si="21"/>
        <v>23285745.130000003</v>
      </c>
      <c r="H200" s="852">
        <f t="shared" si="21"/>
        <v>23285745.130000003</v>
      </c>
      <c r="I200" s="853">
        <f t="shared" si="21"/>
        <v>25835975.43</v>
      </c>
      <c r="J200" s="849">
        <f t="shared" si="21"/>
        <v>27386133.953722905</v>
      </c>
      <c r="K200" s="850">
        <f t="shared" si="21"/>
        <v>29029301.990946282</v>
      </c>
      <c r="L200" s="86"/>
      <c r="M200" s="87"/>
      <c r="N200" s="87"/>
      <c r="O200" s="87"/>
      <c r="P200" s="87"/>
      <c r="Q200" s="87"/>
      <c r="R200" s="87"/>
      <c r="S200" s="87"/>
      <c r="T200" s="87"/>
      <c r="U200" s="87"/>
      <c r="V200" s="87"/>
      <c r="W200" s="87"/>
    </row>
    <row r="201" spans="1:23" ht="11.25" customHeight="1" x14ac:dyDescent="0.25">
      <c r="A201" s="1028">
        <f t="shared" si="17"/>
        <v>0</v>
      </c>
      <c r="B201" s="905"/>
      <c r="C201" s="912"/>
      <c r="D201" s="912"/>
      <c r="E201" s="913"/>
      <c r="F201" s="914"/>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t="str">
        <f t="shared" si="17"/>
        <v>4.2 - HUMAN RESOURCES</v>
      </c>
      <c r="B202" s="905"/>
      <c r="C202" s="912">
        <v>4771000</v>
      </c>
      <c r="D202" s="912">
        <v>5057260</v>
      </c>
      <c r="E202" s="913">
        <v>4427012</v>
      </c>
      <c r="F202" s="914">
        <v>8860497.5999999996</v>
      </c>
      <c r="G202" s="912">
        <v>8457769.3499999996</v>
      </c>
      <c r="H202" s="912">
        <v>8457769.3499999996</v>
      </c>
      <c r="I202" s="916">
        <v>9574148.3599999994</v>
      </c>
      <c r="J202" s="912">
        <v>10148597.260911763</v>
      </c>
      <c r="K202" s="913">
        <v>10757513.096566468</v>
      </c>
      <c r="L202" s="86"/>
      <c r="M202" s="87"/>
      <c r="N202" s="87"/>
      <c r="O202" s="87"/>
      <c r="P202" s="87"/>
      <c r="Q202" s="87"/>
      <c r="R202" s="87"/>
      <c r="S202" s="87"/>
      <c r="T202" s="87"/>
      <c r="U202" s="87"/>
      <c r="V202" s="87"/>
      <c r="W202" s="87"/>
    </row>
    <row r="203" spans="1:23" ht="11.25" customHeight="1" x14ac:dyDescent="0.25">
      <c r="A203" s="1028" t="str">
        <f t="shared" si="17"/>
        <v>4.3 - ADMINISTRATION</v>
      </c>
      <c r="B203" s="905"/>
      <c r="C203" s="912">
        <v>8107000</v>
      </c>
      <c r="D203" s="912">
        <v>9893420</v>
      </c>
      <c r="E203" s="913">
        <v>10398774</v>
      </c>
      <c r="F203" s="914">
        <v>11343420.609999999</v>
      </c>
      <c r="G203" s="912">
        <v>12035256</v>
      </c>
      <c r="H203" s="912">
        <v>12035256</v>
      </c>
      <c r="I203" s="916">
        <v>9538735.3900000006</v>
      </c>
      <c r="J203" s="912">
        <v>10111059.515403146</v>
      </c>
      <c r="K203" s="913">
        <v>10717723.086327333</v>
      </c>
      <c r="L203" s="86"/>
      <c r="M203" s="87"/>
      <c r="N203" s="87"/>
      <c r="O203" s="87"/>
      <c r="P203" s="87"/>
      <c r="Q203" s="87"/>
      <c r="R203" s="87"/>
      <c r="S203" s="87"/>
      <c r="T203" s="87"/>
      <c r="U203" s="87"/>
      <c r="V203" s="87"/>
      <c r="W203" s="87"/>
    </row>
    <row r="204" spans="1:23" ht="11.25" customHeight="1" x14ac:dyDescent="0.25">
      <c r="A204" s="1028" t="str">
        <f t="shared" si="17"/>
        <v>4.4 - CORPORATE SERVICES MANAGEMENT</v>
      </c>
      <c r="B204" s="905"/>
      <c r="C204" s="912">
        <v>2297000</v>
      </c>
      <c r="D204" s="912">
        <v>3434820</v>
      </c>
      <c r="E204" s="913">
        <v>6097288.6100000003</v>
      </c>
      <c r="F204" s="914">
        <v>3090168.86</v>
      </c>
      <c r="G204" s="912">
        <v>2792719.78</v>
      </c>
      <c r="H204" s="912">
        <v>2792719.78</v>
      </c>
      <c r="I204" s="916">
        <v>3241562.97</v>
      </c>
      <c r="J204" s="912">
        <v>3436056.7448079996</v>
      </c>
      <c r="K204" s="913">
        <v>3642220.1494964794</v>
      </c>
      <c r="L204" s="86"/>
      <c r="M204" s="87"/>
      <c r="N204" s="87"/>
      <c r="O204" s="87"/>
      <c r="P204" s="87"/>
      <c r="Q204" s="87"/>
      <c r="R204" s="87"/>
      <c r="S204" s="87"/>
      <c r="T204" s="87"/>
      <c r="U204" s="87"/>
      <c r="V204" s="87"/>
      <c r="W204" s="87"/>
    </row>
    <row r="205" spans="1:23" ht="11.25" customHeight="1" x14ac:dyDescent="0.25">
      <c r="A205" s="1028">
        <f t="shared" si="17"/>
        <v>0</v>
      </c>
      <c r="B205" s="905"/>
      <c r="C205" s="912"/>
      <c r="D205" s="912"/>
      <c r="E205" s="913"/>
      <c r="F205" s="914"/>
      <c r="G205" s="912"/>
      <c r="H205" s="915"/>
      <c r="I205" s="916">
        <v>3481528.71</v>
      </c>
      <c r="J205" s="912">
        <v>3690420.4325999999</v>
      </c>
      <c r="K205" s="913">
        <v>3911845.6585559999</v>
      </c>
      <c r="L205" s="86"/>
      <c r="M205" s="87"/>
      <c r="N205" s="87"/>
      <c r="O205" s="87"/>
      <c r="P205" s="87"/>
      <c r="Q205" s="87"/>
      <c r="R205" s="87"/>
      <c r="S205" s="87"/>
      <c r="T205" s="87"/>
      <c r="U205" s="87"/>
      <c r="V205" s="87"/>
      <c r="W205" s="87"/>
    </row>
    <row r="206" spans="1:23" ht="11.25" customHeight="1" x14ac:dyDescent="0.25">
      <c r="A206" s="1028">
        <f t="shared" si="17"/>
        <v>0</v>
      </c>
      <c r="B206" s="905"/>
      <c r="C206" s="912"/>
      <c r="D206" s="912"/>
      <c r="E206" s="913"/>
      <c r="F206" s="914"/>
      <c r="G206" s="912"/>
      <c r="H206" s="915"/>
      <c r="I206" s="916"/>
      <c r="J206" s="912"/>
      <c r="K206" s="913"/>
      <c r="L206" s="86"/>
      <c r="M206" s="87"/>
      <c r="N206" s="87"/>
      <c r="O206" s="87"/>
      <c r="P206" s="87"/>
      <c r="Q206" s="87"/>
      <c r="R206" s="87"/>
      <c r="S206" s="87"/>
      <c r="T206" s="87"/>
      <c r="U206" s="87"/>
      <c r="V206" s="87"/>
      <c r="W206" s="87"/>
    </row>
    <row r="207" spans="1:23" ht="11.25" customHeight="1" x14ac:dyDescent="0.25">
      <c r="A207" s="1028">
        <f t="shared" si="17"/>
        <v>0</v>
      </c>
      <c r="B207" s="905"/>
      <c r="C207" s="912"/>
      <c r="D207" s="912"/>
      <c r="E207" s="913"/>
      <c r="F207" s="914"/>
      <c r="G207" s="912"/>
      <c r="H207" s="915"/>
      <c r="I207" s="916"/>
      <c r="J207" s="912"/>
      <c r="K207" s="913"/>
      <c r="L207" s="86"/>
      <c r="M207" s="87"/>
      <c r="N207" s="87"/>
      <c r="O207" s="87"/>
      <c r="P207" s="87"/>
      <c r="Q207" s="87"/>
      <c r="R207" s="87"/>
      <c r="S207" s="87"/>
      <c r="T207" s="87"/>
      <c r="U207" s="87"/>
      <c r="V207" s="87"/>
      <c r="W207" s="87"/>
    </row>
    <row r="208" spans="1:23" ht="11.25" customHeight="1" x14ac:dyDescent="0.25">
      <c r="A208" s="1028">
        <f t="shared" si="17"/>
        <v>0</v>
      </c>
      <c r="B208" s="905"/>
      <c r="C208" s="912"/>
      <c r="D208" s="912"/>
      <c r="E208" s="913"/>
      <c r="F208" s="914"/>
      <c r="G208" s="912"/>
      <c r="H208" s="915"/>
      <c r="I208" s="916"/>
      <c r="J208" s="912"/>
      <c r="K208" s="913"/>
      <c r="L208" s="86"/>
      <c r="M208" s="87"/>
      <c r="N208" s="87"/>
      <c r="O208" s="87"/>
      <c r="P208" s="87"/>
      <c r="Q208" s="87"/>
      <c r="R208" s="87"/>
      <c r="S208" s="87"/>
      <c r="T208" s="87"/>
      <c r="U208" s="87"/>
      <c r="V208" s="87"/>
      <c r="W208" s="87"/>
    </row>
    <row r="209" spans="1:23" ht="11.25" customHeight="1" x14ac:dyDescent="0.25">
      <c r="A209" s="1028">
        <f t="shared" si="17"/>
        <v>0</v>
      </c>
      <c r="B209" s="905"/>
      <c r="C209" s="912"/>
      <c r="D209" s="912"/>
      <c r="E209" s="913"/>
      <c r="F209" s="914"/>
      <c r="G209" s="912"/>
      <c r="H209" s="915"/>
      <c r="I209" s="916"/>
      <c r="J209" s="912"/>
      <c r="K209" s="913"/>
      <c r="L209" s="86"/>
      <c r="M209" s="87"/>
      <c r="N209" s="87"/>
      <c r="O209" s="87"/>
      <c r="P209" s="87"/>
      <c r="Q209" s="87"/>
      <c r="R209" s="87"/>
      <c r="S209" s="87"/>
      <c r="T209" s="87"/>
      <c r="U209" s="87"/>
      <c r="V209" s="87"/>
      <c r="W209" s="87"/>
    </row>
    <row r="210" spans="1:23" ht="11.25" customHeight="1" x14ac:dyDescent="0.25">
      <c r="A210" s="1028">
        <f t="shared" si="17"/>
        <v>0</v>
      </c>
      <c r="B210" s="905"/>
      <c r="C210" s="912"/>
      <c r="D210" s="912"/>
      <c r="E210" s="913"/>
      <c r="F210" s="914"/>
      <c r="G210" s="912"/>
      <c r="H210" s="915"/>
      <c r="I210" s="916"/>
      <c r="J210" s="912"/>
      <c r="K210" s="913"/>
      <c r="L210" s="86"/>
      <c r="M210" s="87"/>
      <c r="N210" s="87"/>
      <c r="O210" s="87"/>
      <c r="P210" s="87"/>
      <c r="Q210" s="87"/>
      <c r="R210" s="87"/>
      <c r="S210" s="87"/>
      <c r="T210" s="87"/>
      <c r="U210" s="87"/>
      <c r="V210" s="87"/>
      <c r="W210" s="87"/>
    </row>
    <row r="211" spans="1:23" ht="15" customHeight="1" x14ac:dyDescent="0.25">
      <c r="A211" s="1027" t="str">
        <f t="shared" si="17"/>
        <v>Vote 5 - COMMUNITY SERVICES MANAGEMENT</v>
      </c>
      <c r="B211" s="917"/>
      <c r="C211" s="849">
        <f t="shared" ref="C211:K211" si="22">SUM(C212:C221)</f>
        <v>23827630.189737998</v>
      </c>
      <c r="D211" s="849">
        <f t="shared" si="22"/>
        <v>25767288.001131002</v>
      </c>
      <c r="E211" s="850">
        <f t="shared" si="22"/>
        <v>27686839.613200001</v>
      </c>
      <c r="F211" s="851">
        <f t="shared" si="22"/>
        <v>42780366.279999994</v>
      </c>
      <c r="G211" s="849">
        <f t="shared" si="22"/>
        <v>39912689.93</v>
      </c>
      <c r="H211" s="852">
        <f t="shared" si="22"/>
        <v>39912689.93</v>
      </c>
      <c r="I211" s="853">
        <f t="shared" si="22"/>
        <v>46375770.880000003</v>
      </c>
      <c r="J211" s="849">
        <f t="shared" si="22"/>
        <v>49158317.131525628</v>
      </c>
      <c r="K211" s="850">
        <f t="shared" si="22"/>
        <v>52107816.159417167</v>
      </c>
      <c r="L211" s="86"/>
      <c r="M211" s="87"/>
      <c r="N211" s="87"/>
      <c r="O211" s="87"/>
      <c r="P211" s="87"/>
      <c r="Q211" s="87"/>
      <c r="R211" s="87"/>
      <c r="S211" s="87"/>
      <c r="T211" s="87"/>
      <c r="U211" s="87"/>
      <c r="V211" s="87"/>
      <c r="W211" s="87"/>
    </row>
    <row r="212" spans="1:23" ht="11.25" customHeight="1" x14ac:dyDescent="0.25">
      <c r="A212" s="1028" t="str">
        <f t="shared" si="17"/>
        <v>5.1 - COMMUNITY SERVICES MANAGEMENT</v>
      </c>
      <c r="B212" s="905"/>
      <c r="C212" s="912">
        <v>2084000</v>
      </c>
      <c r="D212" s="912">
        <v>2209040</v>
      </c>
      <c r="E212" s="913">
        <v>1301366</v>
      </c>
      <c r="F212" s="914">
        <v>1675309.04</v>
      </c>
      <c r="G212" s="912">
        <v>1164573.0900000001</v>
      </c>
      <c r="H212" s="912">
        <v>1164573.0900000001</v>
      </c>
      <c r="I212" s="916">
        <v>1343416.59</v>
      </c>
      <c r="J212" s="912">
        <v>1424021.5831351192</v>
      </c>
      <c r="K212" s="913">
        <v>1509462.8781232263</v>
      </c>
      <c r="L212" s="86"/>
      <c r="M212" s="87"/>
      <c r="N212" s="87"/>
      <c r="O212" s="87"/>
      <c r="P212" s="87"/>
      <c r="Q212" s="87"/>
      <c r="R212" s="87"/>
      <c r="S212" s="87"/>
      <c r="T212" s="87"/>
      <c r="U212" s="87"/>
      <c r="V212" s="87"/>
      <c r="W212" s="87"/>
    </row>
    <row r="213" spans="1:23" ht="11.25" customHeight="1" x14ac:dyDescent="0.25">
      <c r="A213" s="1028" t="str">
        <f t="shared" si="17"/>
        <v>5.2 - LIBRARY</v>
      </c>
      <c r="B213" s="905"/>
      <c r="C213" s="912">
        <v>551000</v>
      </c>
      <c r="D213" s="912">
        <v>884060</v>
      </c>
      <c r="E213" s="913">
        <v>915588</v>
      </c>
      <c r="F213" s="914">
        <v>538130.28</v>
      </c>
      <c r="G213" s="914">
        <v>538130.28</v>
      </c>
      <c r="H213" s="914">
        <v>538130.28</v>
      </c>
      <c r="I213" s="916">
        <v>575185.51</v>
      </c>
      <c r="J213" s="912">
        <v>609696.6377379999</v>
      </c>
      <c r="K213" s="913">
        <v>646278.43600227986</v>
      </c>
      <c r="L213" s="86"/>
      <c r="M213" s="87"/>
      <c r="N213" s="87"/>
      <c r="O213" s="87"/>
      <c r="P213" s="87"/>
      <c r="Q213" s="87"/>
      <c r="R213" s="87"/>
      <c r="S213" s="87"/>
      <c r="T213" s="87"/>
      <c r="U213" s="87"/>
      <c r="V213" s="87"/>
      <c r="W213" s="87"/>
    </row>
    <row r="214" spans="1:23" ht="11.25" customHeight="1" x14ac:dyDescent="0.25">
      <c r="A214" s="1028" t="str">
        <f t="shared" si="17"/>
        <v>5.3 - HEALTH GENERAL</v>
      </c>
      <c r="B214" s="905"/>
      <c r="C214" s="912">
        <v>876000</v>
      </c>
      <c r="D214" s="912">
        <v>928560</v>
      </c>
      <c r="E214" s="913">
        <v>883078</v>
      </c>
      <c r="F214" s="914">
        <v>3533173.1</v>
      </c>
      <c r="G214" s="912">
        <v>3142239.9</v>
      </c>
      <c r="H214" s="912">
        <v>3142239.9</v>
      </c>
      <c r="I214" s="916">
        <v>3330774.29</v>
      </c>
      <c r="J214" s="912">
        <v>3530620.7516400008</v>
      </c>
      <c r="K214" s="913">
        <v>3742457.9967383998</v>
      </c>
      <c r="L214" s="86"/>
      <c r="M214" s="87"/>
      <c r="N214" s="87"/>
      <c r="O214" s="87"/>
      <c r="P214" s="87"/>
      <c r="Q214" s="87"/>
      <c r="R214" s="87"/>
      <c r="S214" s="87"/>
      <c r="T214" s="87"/>
      <c r="U214" s="87"/>
      <c r="V214" s="87"/>
      <c r="W214" s="87"/>
    </row>
    <row r="215" spans="1:23" ht="11.25" customHeight="1" x14ac:dyDescent="0.25">
      <c r="A215" s="1028" t="str">
        <f t="shared" si="17"/>
        <v>5.4 - REGISTRATION AUTHORITY</v>
      </c>
      <c r="B215" s="905"/>
      <c r="C215" s="912">
        <v>5002000</v>
      </c>
      <c r="D215" s="912">
        <v>5302120</v>
      </c>
      <c r="E215" s="913">
        <v>3672745</v>
      </c>
      <c r="F215" s="914">
        <v>13537086.800000001</v>
      </c>
      <c r="G215" s="912">
        <v>13286544.960000001</v>
      </c>
      <c r="H215" s="912">
        <v>13286544.960000001</v>
      </c>
      <c r="I215" s="916">
        <v>14838065.699999999</v>
      </c>
      <c r="J215" s="912">
        <v>15728349.639569122</v>
      </c>
      <c r="K215" s="913">
        <v>16672050.617943274</v>
      </c>
      <c r="L215" s="86"/>
      <c r="M215" s="87"/>
      <c r="N215" s="87"/>
      <c r="O215" s="87"/>
      <c r="P215" s="87"/>
      <c r="Q215" s="87"/>
      <c r="R215" s="87"/>
      <c r="S215" s="87"/>
      <c r="T215" s="87"/>
      <c r="U215" s="87"/>
      <c r="V215" s="87"/>
      <c r="W215" s="87"/>
    </row>
    <row r="216" spans="1:23" ht="11.25" customHeight="1" x14ac:dyDescent="0.25">
      <c r="A216" s="1028" t="str">
        <f t="shared" si="17"/>
        <v>5.5 - LICENCING &amp; TRAFFIC</v>
      </c>
      <c r="B216" s="905"/>
      <c r="C216" s="912">
        <v>5381000</v>
      </c>
      <c r="D216" s="912">
        <v>5703860</v>
      </c>
      <c r="E216" s="913">
        <v>8312465.5999999996</v>
      </c>
      <c r="F216" s="914">
        <v>7818853.4699999997</v>
      </c>
      <c r="G216" s="912">
        <v>6762485.54</v>
      </c>
      <c r="H216" s="912">
        <v>6762485.54</v>
      </c>
      <c r="I216" s="916">
        <v>8102059.0800000001</v>
      </c>
      <c r="J216" s="912">
        <v>8588182.6266101822</v>
      </c>
      <c r="K216" s="913">
        <v>9103473.5842067935</v>
      </c>
      <c r="L216" s="86"/>
      <c r="M216" s="87"/>
      <c r="N216" s="87"/>
      <c r="O216" s="87"/>
      <c r="P216" s="87"/>
      <c r="Q216" s="87"/>
      <c r="R216" s="87"/>
      <c r="S216" s="87"/>
      <c r="T216" s="87"/>
      <c r="U216" s="87"/>
      <c r="V216" s="87"/>
      <c r="W216" s="87"/>
    </row>
    <row r="217" spans="1:23" ht="11.25" customHeight="1" x14ac:dyDescent="0.25">
      <c r="A217" s="1028" t="str">
        <f t="shared" si="17"/>
        <v>5.6 - PARKS &amp; CEMETRIES</v>
      </c>
      <c r="B217" s="905"/>
      <c r="C217" s="912">
        <v>3968000</v>
      </c>
      <c r="D217" s="912">
        <v>4206080</v>
      </c>
      <c r="E217" s="913">
        <v>6697677.1320000002</v>
      </c>
      <c r="F217" s="914">
        <v>7099537.7599999998</v>
      </c>
      <c r="G217" s="912">
        <v>6657322.8499999996</v>
      </c>
      <c r="H217" s="912">
        <v>6657322.8499999996</v>
      </c>
      <c r="I217" s="916">
        <v>7369121.8700000001</v>
      </c>
      <c r="J217" s="912">
        <v>7811269.1851128815</v>
      </c>
      <c r="K217" s="913">
        <v>8279945.3362196516</v>
      </c>
      <c r="L217" s="86"/>
      <c r="M217" s="87"/>
      <c r="N217" s="87"/>
      <c r="O217" s="87"/>
      <c r="P217" s="87"/>
      <c r="Q217" s="87"/>
      <c r="R217" s="87"/>
      <c r="S217" s="87"/>
      <c r="T217" s="87"/>
      <c r="U217" s="87"/>
      <c r="V217" s="87"/>
      <c r="W217" s="87"/>
    </row>
    <row r="218" spans="1:23" ht="11.25" customHeight="1" x14ac:dyDescent="0.25">
      <c r="A218" s="1028" t="str">
        <f t="shared" si="17"/>
        <v>5.7 - SOLID WASTE</v>
      </c>
      <c r="B218" s="905"/>
      <c r="C218" s="912">
        <v>5162000</v>
      </c>
      <c r="D218" s="912">
        <v>5671720</v>
      </c>
      <c r="E218" s="913">
        <v>5000961</v>
      </c>
      <c r="F218" s="914">
        <v>6775737.79</v>
      </c>
      <c r="G218" s="912">
        <v>6723537.2699999996</v>
      </c>
      <c r="H218" s="912">
        <v>6723537.2699999996</v>
      </c>
      <c r="I218" s="916">
        <v>8524974.7400000002</v>
      </c>
      <c r="J218" s="912">
        <v>9036473.223416321</v>
      </c>
      <c r="K218" s="913">
        <v>9578661.6168213002</v>
      </c>
      <c r="L218" s="86"/>
      <c r="M218" s="87"/>
      <c r="N218" s="87"/>
      <c r="O218" s="87"/>
      <c r="P218" s="87"/>
      <c r="Q218" s="87"/>
      <c r="R218" s="87"/>
      <c r="S218" s="87"/>
      <c r="T218" s="87"/>
      <c r="U218" s="87"/>
      <c r="V218" s="87"/>
      <c r="W218" s="87"/>
    </row>
    <row r="219" spans="1:23" ht="11.25" customHeight="1" x14ac:dyDescent="0.25">
      <c r="A219" s="1028" t="str">
        <f t="shared" si="17"/>
        <v>5.8 - SPORTS ARTS AND CULTURE</v>
      </c>
      <c r="B219" s="905"/>
      <c r="C219" s="912">
        <v>283552.86577999999</v>
      </c>
      <c r="D219" s="912">
        <v>310566.03773500002</v>
      </c>
      <c r="E219" s="913">
        <v>318600</v>
      </c>
      <c r="F219" s="914">
        <v>1573122.04</v>
      </c>
      <c r="G219" s="912">
        <v>1508440.04</v>
      </c>
      <c r="H219" s="912">
        <v>1508440.04</v>
      </c>
      <c r="I219" s="916">
        <v>2094573.1</v>
      </c>
      <c r="J219" s="912">
        <v>2220247.4843040002</v>
      </c>
      <c r="K219" s="913">
        <v>2353462.3333622399</v>
      </c>
      <c r="L219" s="86"/>
      <c r="M219" s="87"/>
      <c r="N219" s="87"/>
      <c r="O219" s="87"/>
      <c r="P219" s="87"/>
      <c r="Q219" s="87"/>
      <c r="R219" s="87"/>
      <c r="S219" s="87"/>
      <c r="T219" s="87"/>
      <c r="U219" s="87"/>
      <c r="V219" s="87"/>
      <c r="W219" s="87"/>
    </row>
    <row r="220" spans="1:23" ht="11.25" customHeight="1" x14ac:dyDescent="0.25">
      <c r="A220" s="1028" t="str">
        <f t="shared" si="17"/>
        <v>5.9 - HIV/AIDS</v>
      </c>
      <c r="B220" s="905"/>
      <c r="C220" s="912">
        <v>520077.32395799999</v>
      </c>
      <c r="D220" s="912">
        <v>551281.96339599998</v>
      </c>
      <c r="E220" s="912">
        <v>584358.88119999995</v>
      </c>
      <c r="F220" s="914">
        <v>229416</v>
      </c>
      <c r="G220" s="912">
        <v>129416</v>
      </c>
      <c r="H220" s="912">
        <v>129416</v>
      </c>
      <c r="I220" s="916">
        <v>197600</v>
      </c>
      <c r="J220" s="912">
        <v>209456</v>
      </c>
      <c r="K220" s="913">
        <v>222023.36</v>
      </c>
      <c r="L220" s="86"/>
      <c r="M220" s="87"/>
      <c r="N220" s="87"/>
      <c r="O220" s="87"/>
      <c r="P220" s="87"/>
      <c r="Q220" s="87"/>
      <c r="R220" s="87"/>
      <c r="S220" s="87"/>
      <c r="T220" s="87"/>
      <c r="U220" s="87"/>
      <c r="V220" s="87"/>
      <c r="W220" s="87"/>
    </row>
    <row r="221" spans="1:23" ht="11.25" customHeight="1" x14ac:dyDescent="0.25">
      <c r="A221" s="1028">
        <f t="shared" si="17"/>
        <v>0</v>
      </c>
      <c r="B221" s="905"/>
      <c r="C221" s="912"/>
      <c r="D221" s="912"/>
      <c r="E221" s="913"/>
      <c r="F221" s="914"/>
      <c r="G221" s="912"/>
      <c r="H221" s="915"/>
      <c r="I221" s="916"/>
      <c r="J221" s="912"/>
      <c r="K221" s="913"/>
      <c r="L221" s="86"/>
      <c r="M221" s="87"/>
      <c r="N221" s="87"/>
      <c r="O221" s="87"/>
      <c r="P221" s="87"/>
      <c r="Q221" s="87"/>
      <c r="R221" s="87"/>
      <c r="S221" s="87"/>
      <c r="T221" s="87"/>
      <c r="U221" s="87"/>
      <c r="V221" s="87"/>
      <c r="W221" s="87"/>
    </row>
    <row r="222" spans="1:23" ht="15" customHeight="1" x14ac:dyDescent="0.25">
      <c r="A222" s="1027" t="str">
        <f t="shared" si="17"/>
        <v>Vote 6 - TECHNICAL SERVICES</v>
      </c>
      <c r="B222" s="917"/>
      <c r="C222" s="849">
        <f t="shared" ref="C222:K222" si="23">SUM(C223:C232)</f>
        <v>47297108.898000002</v>
      </c>
      <c r="D222" s="849">
        <f t="shared" si="23"/>
        <v>50204935.430000007</v>
      </c>
      <c r="E222" s="850">
        <f t="shared" si="23"/>
        <v>45190136.579999998</v>
      </c>
      <c r="F222" s="851">
        <f t="shared" si="23"/>
        <v>115848075.8</v>
      </c>
      <c r="G222" s="849">
        <f t="shared" si="23"/>
        <v>113653123.56999999</v>
      </c>
      <c r="H222" s="852">
        <f t="shared" si="23"/>
        <v>113653123.56999999</v>
      </c>
      <c r="I222" s="853">
        <f t="shared" si="23"/>
        <v>109861683.47</v>
      </c>
      <c r="J222" s="849">
        <f t="shared" si="23"/>
        <v>116800364.47265112</v>
      </c>
      <c r="K222" s="850">
        <f t="shared" si="23"/>
        <v>124565646.34101018</v>
      </c>
      <c r="L222" s="86"/>
      <c r="M222" s="87"/>
      <c r="N222" s="87"/>
      <c r="O222" s="87"/>
      <c r="P222" s="87"/>
      <c r="Q222" s="87"/>
      <c r="R222" s="87"/>
      <c r="S222" s="87"/>
      <c r="T222" s="87"/>
      <c r="U222" s="87"/>
      <c r="V222" s="87"/>
      <c r="W222" s="87"/>
    </row>
    <row r="223" spans="1:23" ht="11.25" customHeight="1" x14ac:dyDescent="0.25">
      <c r="A223" s="1028" t="str">
        <f t="shared" si="17"/>
        <v>6.1 - ELECTRICITY</v>
      </c>
      <c r="B223" s="905"/>
      <c r="C223" s="912">
        <v>27955000</v>
      </c>
      <c r="D223" s="912">
        <v>28332300</v>
      </c>
      <c r="E223" s="913">
        <v>31653987.710000001</v>
      </c>
      <c r="F223" s="914">
        <v>39623869.960000001</v>
      </c>
      <c r="G223" s="912">
        <v>39466098.770000003</v>
      </c>
      <c r="H223" s="912">
        <v>39466098.770000003</v>
      </c>
      <c r="I223" s="916">
        <v>45036034.890000001</v>
      </c>
      <c r="J223" s="912">
        <v>47738196.980389602</v>
      </c>
      <c r="K223" s="913">
        <v>50602488.799212992</v>
      </c>
      <c r="L223" s="86"/>
      <c r="M223" s="87"/>
      <c r="N223" s="87"/>
      <c r="O223" s="87"/>
      <c r="P223" s="87"/>
      <c r="Q223" s="87"/>
      <c r="R223" s="87"/>
      <c r="S223" s="87"/>
      <c r="T223" s="87"/>
      <c r="U223" s="87"/>
      <c r="V223" s="87"/>
      <c r="W223" s="87"/>
    </row>
    <row r="224" spans="1:23" ht="11.25" customHeight="1" x14ac:dyDescent="0.25">
      <c r="A224" s="1028" t="str">
        <f t="shared" si="17"/>
        <v>6.2 - WATER SERVICES</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customHeight="1" x14ac:dyDescent="0.25">
      <c r="A225" s="1028"/>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customHeight="1" x14ac:dyDescent="0.25">
      <c r="A226" s="1028" t="str">
        <f>A63</f>
        <v>6.3 - TECHNICAL SERVICES MANAGEMENT</v>
      </c>
      <c r="B226" s="905"/>
      <c r="C226" s="912">
        <v>2427000</v>
      </c>
      <c r="D226" s="912">
        <v>3772620</v>
      </c>
      <c r="E226" s="913">
        <v>4641816.87</v>
      </c>
      <c r="F226" s="914">
        <v>4082115.68</v>
      </c>
      <c r="G226" s="912">
        <v>4093951.2</v>
      </c>
      <c r="H226" s="912">
        <v>4093951.2</v>
      </c>
      <c r="I226" s="916">
        <v>4181112.03</v>
      </c>
      <c r="J226" s="912">
        <v>4431978.7517999997</v>
      </c>
      <c r="K226" s="913">
        <v>4697897.4769079993</v>
      </c>
      <c r="L226" s="86"/>
      <c r="M226" s="87"/>
      <c r="N226" s="87"/>
      <c r="O226" s="87"/>
      <c r="P226" s="87"/>
      <c r="Q226" s="87"/>
      <c r="R226" s="87"/>
      <c r="S226" s="87"/>
      <c r="T226" s="87"/>
      <c r="U226" s="87"/>
      <c r="V226" s="87"/>
      <c r="W226" s="87"/>
    </row>
    <row r="227" spans="1:23" ht="11.25" customHeight="1" x14ac:dyDescent="0.25">
      <c r="A227" s="1028"/>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1.25" customHeight="1" x14ac:dyDescent="0.25">
      <c r="A228" s="1028"/>
      <c r="B228" s="905"/>
      <c r="C228" s="912"/>
      <c r="D228" s="912"/>
      <c r="E228" s="913"/>
      <c r="F228" s="914"/>
      <c r="G228" s="912"/>
      <c r="H228" s="915"/>
      <c r="I228" s="916"/>
      <c r="J228" s="912"/>
      <c r="K228" s="913"/>
      <c r="L228" s="86"/>
      <c r="M228" s="87"/>
      <c r="N228" s="87"/>
      <c r="O228" s="87"/>
      <c r="P228" s="87"/>
      <c r="Q228" s="87"/>
      <c r="R228" s="87"/>
      <c r="S228" s="87"/>
      <c r="T228" s="87"/>
      <c r="U228" s="87"/>
      <c r="V228" s="87"/>
      <c r="W228" s="87"/>
    </row>
    <row r="229" spans="1:23" ht="11.25" customHeight="1" x14ac:dyDescent="0.25">
      <c r="A229" s="1028" t="str">
        <f>A64</f>
        <v>6.4 - HOUSING &amp; BUILDING CONTROL</v>
      </c>
      <c r="B229" s="905"/>
      <c r="C229" s="912">
        <v>4260775.898</v>
      </c>
      <c r="D229" s="912">
        <v>4516422.45</v>
      </c>
      <c r="E229" s="913">
        <v>5222227</v>
      </c>
      <c r="F229" s="914"/>
      <c r="G229" s="912"/>
      <c r="H229" s="912"/>
      <c r="I229" s="916"/>
      <c r="J229" s="912"/>
      <c r="K229" s="913"/>
      <c r="L229" s="86"/>
      <c r="M229" s="87"/>
      <c r="N229" s="87"/>
      <c r="O229" s="87"/>
      <c r="P229" s="87"/>
      <c r="Q229" s="87"/>
      <c r="R229" s="87"/>
      <c r="S229" s="87"/>
      <c r="T229" s="87"/>
      <c r="U229" s="87"/>
      <c r="V229" s="87"/>
      <c r="W229" s="87"/>
    </row>
    <row r="230" spans="1:23" ht="11.25" customHeight="1" x14ac:dyDescent="0.25">
      <c r="A230" s="1028" t="str">
        <f>A65</f>
        <v>6.5 - ROADS &amp; STORMWATER</v>
      </c>
      <c r="B230" s="905"/>
      <c r="C230" s="912">
        <v>7154333</v>
      </c>
      <c r="D230" s="912">
        <v>7583592.9800000004</v>
      </c>
      <c r="E230" s="913">
        <v>3672105</v>
      </c>
      <c r="F230" s="914">
        <v>72142090.159999996</v>
      </c>
      <c r="G230" s="912">
        <v>70093073.599999994</v>
      </c>
      <c r="H230" s="912">
        <v>70093073.599999994</v>
      </c>
      <c r="I230" s="916">
        <v>60644536.549999997</v>
      </c>
      <c r="J230" s="912">
        <v>64630188.740461513</v>
      </c>
      <c r="K230" s="913">
        <v>69265260.064889193</v>
      </c>
      <c r="L230" s="86"/>
      <c r="M230" s="87"/>
      <c r="N230" s="87"/>
      <c r="O230" s="87"/>
      <c r="P230" s="87"/>
      <c r="Q230" s="87"/>
      <c r="R230" s="87"/>
      <c r="S230" s="87"/>
      <c r="T230" s="87"/>
      <c r="U230" s="87"/>
      <c r="V230" s="87"/>
      <c r="W230" s="87"/>
    </row>
    <row r="231" spans="1:23" ht="11.25" customHeight="1" x14ac:dyDescent="0.25">
      <c r="A231" s="1028" t="str">
        <f>A66</f>
        <v>6.6 - FLEET MANAGEMENT</v>
      </c>
      <c r="B231" s="905"/>
      <c r="C231" s="912"/>
      <c r="D231" s="912"/>
      <c r="E231" s="913"/>
      <c r="F231" s="914"/>
      <c r="G231" s="912"/>
      <c r="H231" s="915"/>
      <c r="I231" s="916"/>
      <c r="J231" s="912"/>
      <c r="K231" s="913"/>
      <c r="L231" s="86"/>
      <c r="M231" s="87"/>
      <c r="N231" s="87"/>
      <c r="O231" s="87"/>
      <c r="P231" s="87"/>
      <c r="Q231" s="87"/>
      <c r="R231" s="87"/>
      <c r="S231" s="87"/>
      <c r="T231" s="87"/>
      <c r="U231" s="87"/>
      <c r="V231" s="87"/>
      <c r="W231" s="87"/>
    </row>
    <row r="232" spans="1:23" ht="11.25" customHeight="1" x14ac:dyDescent="0.25">
      <c r="A232" s="1028" t="str">
        <f>A67</f>
        <v>6.7 - SEWERAGE NETWORK</v>
      </c>
      <c r="B232" s="905"/>
      <c r="C232" s="912">
        <v>5500000</v>
      </c>
      <c r="D232" s="912">
        <v>6000000</v>
      </c>
      <c r="E232" s="913"/>
      <c r="F232" s="914"/>
      <c r="G232" s="912"/>
      <c r="H232" s="915"/>
      <c r="I232" s="916"/>
      <c r="J232" s="912"/>
      <c r="K232" s="913"/>
      <c r="L232" s="86"/>
      <c r="M232" s="87"/>
      <c r="N232" s="87"/>
      <c r="O232" s="87"/>
      <c r="P232" s="87"/>
      <c r="Q232" s="87"/>
      <c r="R232" s="87"/>
      <c r="S232" s="87"/>
      <c r="T232" s="87"/>
      <c r="U232" s="87"/>
      <c r="V232" s="87"/>
      <c r="W232" s="87"/>
    </row>
    <row r="233" spans="1:23" ht="15" customHeight="1" x14ac:dyDescent="0.25">
      <c r="A233" s="1027"/>
      <c r="B233" s="917"/>
      <c r="C233" s="849">
        <f t="shared" ref="C233:K233" si="24">SUM(C234:C243)</f>
        <v>0</v>
      </c>
      <c r="D233" s="849">
        <f t="shared" si="24"/>
        <v>0</v>
      </c>
      <c r="E233" s="850">
        <f t="shared" si="24"/>
        <v>0</v>
      </c>
      <c r="F233" s="851">
        <f t="shared" si="24"/>
        <v>5271611.04</v>
      </c>
      <c r="G233" s="849">
        <f t="shared" si="24"/>
        <v>5426122.3399999999</v>
      </c>
      <c r="H233" s="852">
        <f t="shared" si="24"/>
        <v>5426122.3399999999</v>
      </c>
      <c r="I233" s="853">
        <f t="shared" si="24"/>
        <v>10843971.75393418</v>
      </c>
      <c r="J233" s="849">
        <f t="shared" si="24"/>
        <v>11487610.055847004</v>
      </c>
      <c r="K233" s="850">
        <f t="shared" si="24"/>
        <v>12176866.659197824</v>
      </c>
      <c r="L233" s="86"/>
      <c r="M233" s="87"/>
      <c r="N233" s="87"/>
      <c r="O233" s="87"/>
      <c r="P233" s="87"/>
      <c r="Q233" s="87"/>
      <c r="R233" s="87"/>
      <c r="S233" s="87"/>
      <c r="T233" s="87"/>
      <c r="U233" s="87"/>
      <c r="V233" s="87"/>
      <c r="W233" s="87"/>
    </row>
    <row r="234" spans="1:23" ht="11.25" customHeight="1" x14ac:dyDescent="0.25">
      <c r="A234" s="1027" t="s">
        <v>1876</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customHeight="1" x14ac:dyDescent="0.25">
      <c r="A235" s="1028" t="s">
        <v>2427</v>
      </c>
      <c r="B235" s="905"/>
      <c r="C235" s="912"/>
      <c r="D235" s="912"/>
      <c r="E235" s="913"/>
      <c r="F235" s="914">
        <v>5271611.04</v>
      </c>
      <c r="G235" s="912">
        <v>5426122.3399999999</v>
      </c>
      <c r="H235" s="915">
        <v>5426122.3399999999</v>
      </c>
      <c r="I235" s="916">
        <v>5988595.1399999997</v>
      </c>
      <c r="J235" s="912">
        <v>6347910.8450767724</v>
      </c>
      <c r="K235" s="913">
        <v>6728785.4957813798</v>
      </c>
      <c r="L235" s="86"/>
      <c r="M235" s="87"/>
      <c r="N235" s="87"/>
      <c r="O235" s="87"/>
      <c r="P235" s="87"/>
      <c r="Q235" s="87"/>
      <c r="R235" s="87"/>
      <c r="S235" s="87"/>
      <c r="T235" s="87"/>
      <c r="U235" s="87"/>
      <c r="V235" s="87"/>
      <c r="W235" s="87"/>
    </row>
    <row r="236" spans="1:23" ht="11.25" customHeight="1" x14ac:dyDescent="0.25">
      <c r="A236" s="1028" t="s">
        <v>2428</v>
      </c>
      <c r="B236" s="905"/>
      <c r="C236" s="912"/>
      <c r="D236" s="912"/>
      <c r="E236" s="913"/>
      <c r="F236" s="914"/>
      <c r="G236" s="912"/>
      <c r="H236" s="915"/>
      <c r="I236" s="916">
        <v>4855376.6139341807</v>
      </c>
      <c r="J236" s="912">
        <v>5139699.2107702317</v>
      </c>
      <c r="K236" s="913">
        <v>5448081.1634164443</v>
      </c>
      <c r="L236" s="86"/>
      <c r="M236" s="87"/>
      <c r="N236" s="87"/>
      <c r="O236" s="87"/>
      <c r="P236" s="87"/>
      <c r="Q236" s="87"/>
      <c r="R236" s="87"/>
      <c r="S236" s="87"/>
      <c r="T236" s="87"/>
      <c r="U236" s="87"/>
      <c r="V236" s="87"/>
      <c r="W236" s="87"/>
    </row>
    <row r="237" spans="1:23" ht="11.25" customHeight="1" x14ac:dyDescent="0.25">
      <c r="A237" s="1028"/>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customHeight="1" x14ac:dyDescent="0.25">
      <c r="A238" s="1028"/>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1.25" customHeight="1" x14ac:dyDescent="0.25">
      <c r="A239" s="1028">
        <f t="shared" ref="A239:A243" si="25">A71</f>
        <v>0</v>
      </c>
      <c r="B239" s="905"/>
      <c r="C239" s="912"/>
      <c r="D239" s="912"/>
      <c r="E239" s="913"/>
      <c r="F239" s="914"/>
      <c r="G239" s="912"/>
      <c r="H239" s="915"/>
      <c r="I239" s="916"/>
      <c r="J239" s="912"/>
      <c r="K239" s="913"/>
      <c r="L239" s="86"/>
      <c r="M239" s="87"/>
      <c r="N239" s="87"/>
      <c r="O239" s="87"/>
      <c r="P239" s="87"/>
      <c r="Q239" s="87"/>
      <c r="R239" s="87"/>
      <c r="S239" s="87"/>
      <c r="T239" s="87"/>
      <c r="U239" s="87"/>
      <c r="V239" s="87"/>
      <c r="W239" s="87"/>
    </row>
    <row r="240" spans="1:23" ht="11.25" customHeight="1" x14ac:dyDescent="0.25">
      <c r="A240" s="1028">
        <f t="shared" si="25"/>
        <v>0</v>
      </c>
      <c r="B240" s="905"/>
      <c r="C240" s="912"/>
      <c r="D240" s="912"/>
      <c r="E240" s="913"/>
      <c r="F240" s="914"/>
      <c r="G240" s="912"/>
      <c r="H240" s="915"/>
      <c r="I240" s="916"/>
      <c r="J240" s="912"/>
      <c r="K240" s="913"/>
      <c r="L240" s="86"/>
      <c r="M240" s="87"/>
      <c r="N240" s="87"/>
      <c r="O240" s="87"/>
      <c r="P240" s="87"/>
      <c r="Q240" s="87"/>
      <c r="R240" s="87"/>
      <c r="S240" s="87"/>
      <c r="T240" s="87"/>
      <c r="U240" s="87"/>
      <c r="V240" s="87"/>
      <c r="W240" s="87"/>
    </row>
    <row r="241" spans="1:23" ht="11.25" customHeight="1" x14ac:dyDescent="0.25">
      <c r="A241" s="1028">
        <f t="shared" si="25"/>
        <v>0</v>
      </c>
      <c r="B241" s="905"/>
      <c r="C241" s="912"/>
      <c r="D241" s="912"/>
      <c r="E241" s="913"/>
      <c r="F241" s="914"/>
      <c r="G241" s="912"/>
      <c r="H241" s="915"/>
      <c r="I241" s="916"/>
      <c r="J241" s="912"/>
      <c r="K241" s="913"/>
      <c r="L241" s="86"/>
      <c r="M241" s="87"/>
      <c r="N241" s="87"/>
      <c r="O241" s="87"/>
      <c r="P241" s="87"/>
      <c r="Q241" s="87"/>
      <c r="R241" s="87"/>
      <c r="S241" s="87"/>
      <c r="T241" s="87"/>
      <c r="U241" s="87"/>
      <c r="V241" s="87"/>
      <c r="W241" s="87"/>
    </row>
    <row r="242" spans="1:23" ht="11.25" customHeight="1" x14ac:dyDescent="0.25">
      <c r="A242" s="1028">
        <f t="shared" si="25"/>
        <v>0</v>
      </c>
      <c r="B242" s="905"/>
      <c r="C242" s="912"/>
      <c r="D242" s="912"/>
      <c r="E242" s="913"/>
      <c r="F242" s="914"/>
      <c r="G242" s="912"/>
      <c r="H242" s="915"/>
      <c r="I242" s="916"/>
      <c r="J242" s="912"/>
      <c r="K242" s="913"/>
      <c r="L242" s="86"/>
      <c r="M242" s="87"/>
      <c r="N242" s="87"/>
      <c r="O242" s="87"/>
      <c r="P242" s="87"/>
      <c r="Q242" s="87"/>
      <c r="R242" s="87"/>
      <c r="S242" s="87"/>
      <c r="T242" s="87"/>
      <c r="U242" s="87"/>
      <c r="V242" s="87"/>
      <c r="W242" s="87"/>
    </row>
    <row r="243" spans="1:23" ht="11.25" customHeight="1" x14ac:dyDescent="0.25">
      <c r="A243" s="1028">
        <f t="shared" si="25"/>
        <v>0</v>
      </c>
      <c r="B243" s="905"/>
      <c r="C243" s="912"/>
      <c r="D243" s="912"/>
      <c r="E243" s="913"/>
      <c r="F243" s="914"/>
      <c r="G243" s="912"/>
      <c r="H243" s="915"/>
      <c r="I243" s="916"/>
      <c r="J243" s="912"/>
      <c r="K243" s="913"/>
      <c r="L243" s="86"/>
      <c r="M243" s="87"/>
      <c r="N243" s="87"/>
      <c r="O243" s="87"/>
      <c r="P243" s="87"/>
      <c r="Q243" s="87"/>
      <c r="R243" s="87"/>
      <c r="S243" s="87"/>
      <c r="T243" s="87"/>
      <c r="U243" s="87"/>
      <c r="V243" s="87"/>
      <c r="W243" s="87"/>
    </row>
    <row r="244" spans="1:23" ht="15" customHeight="1" x14ac:dyDescent="0.25">
      <c r="A244" s="1027" t="str">
        <f>A76</f>
        <v>Vote 8 - [NAME OF VOTE 8]</v>
      </c>
      <c r="B244" s="905"/>
      <c r="C244" s="849">
        <f t="shared" ref="C244:K244" si="26">SUM(C245:C254)</f>
        <v>0</v>
      </c>
      <c r="D244" s="849">
        <f t="shared" si="26"/>
        <v>0</v>
      </c>
      <c r="E244" s="850">
        <f t="shared" si="26"/>
        <v>0</v>
      </c>
      <c r="F244" s="851">
        <f t="shared" si="26"/>
        <v>0</v>
      </c>
      <c r="G244" s="849">
        <f t="shared" si="26"/>
        <v>0</v>
      </c>
      <c r="H244" s="852">
        <f t="shared" si="26"/>
        <v>0</v>
      </c>
      <c r="I244" s="853">
        <f t="shared" si="26"/>
        <v>0</v>
      </c>
      <c r="J244" s="849">
        <f t="shared" si="26"/>
        <v>0</v>
      </c>
      <c r="K244" s="850">
        <f t="shared" si="26"/>
        <v>0</v>
      </c>
      <c r="L244" s="86"/>
      <c r="M244" s="87"/>
      <c r="N244" s="87"/>
      <c r="O244" s="87"/>
      <c r="P244" s="87"/>
      <c r="Q244" s="87"/>
      <c r="R244" s="87"/>
      <c r="S244" s="87"/>
      <c r="T244" s="87"/>
      <c r="U244" s="87"/>
      <c r="V244" s="87"/>
      <c r="W244" s="87"/>
    </row>
    <row r="245" spans="1:23" ht="11.25" customHeight="1" x14ac:dyDescent="0.25">
      <c r="A245" s="1028" t="str">
        <f t="shared" ref="A245:A265" si="27">A77</f>
        <v>8.1 - [Name of sub-vote]</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27"/>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27"/>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27"/>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27"/>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1.25" customHeight="1" x14ac:dyDescent="0.25">
      <c r="A250" s="1028">
        <f t="shared" si="27"/>
        <v>0</v>
      </c>
      <c r="B250" s="905"/>
      <c r="C250" s="912"/>
      <c r="D250" s="912"/>
      <c r="E250" s="913"/>
      <c r="F250" s="914"/>
      <c r="G250" s="912"/>
      <c r="H250" s="915"/>
      <c r="I250" s="916"/>
      <c r="J250" s="912"/>
      <c r="K250" s="913"/>
      <c r="L250" s="86"/>
      <c r="M250" s="87"/>
      <c r="N250" s="87"/>
      <c r="O250" s="87"/>
      <c r="P250" s="87"/>
      <c r="Q250" s="87"/>
      <c r="R250" s="87"/>
      <c r="S250" s="87"/>
      <c r="T250" s="87"/>
      <c r="U250" s="87"/>
      <c r="V250" s="87"/>
      <c r="W250" s="87"/>
    </row>
    <row r="251" spans="1:23" ht="11.25" customHeight="1" x14ac:dyDescent="0.25">
      <c r="A251" s="1028">
        <f t="shared" si="27"/>
        <v>0</v>
      </c>
      <c r="B251" s="905"/>
      <c r="C251" s="912"/>
      <c r="D251" s="912"/>
      <c r="E251" s="913"/>
      <c r="F251" s="914"/>
      <c r="G251" s="912"/>
      <c r="H251" s="915"/>
      <c r="I251" s="916"/>
      <c r="J251" s="912"/>
      <c r="K251" s="913"/>
      <c r="L251" s="86"/>
      <c r="M251" s="87"/>
      <c r="N251" s="87"/>
      <c r="O251" s="87"/>
      <c r="P251" s="87"/>
      <c r="Q251" s="87"/>
      <c r="R251" s="87"/>
      <c r="S251" s="87"/>
      <c r="T251" s="87"/>
      <c r="U251" s="87"/>
      <c r="V251" s="87"/>
      <c r="W251" s="87"/>
    </row>
    <row r="252" spans="1:23" ht="11.25" customHeight="1" x14ac:dyDescent="0.25">
      <c r="A252" s="1028">
        <f t="shared" si="27"/>
        <v>0</v>
      </c>
      <c r="B252" s="905"/>
      <c r="C252" s="912"/>
      <c r="D252" s="912"/>
      <c r="E252" s="913"/>
      <c r="F252" s="914"/>
      <c r="G252" s="912"/>
      <c r="H252" s="915"/>
      <c r="I252" s="916"/>
      <c r="J252" s="912"/>
      <c r="K252" s="913"/>
      <c r="L252" s="86"/>
      <c r="M252" s="87"/>
      <c r="N252" s="87"/>
      <c r="O252" s="87"/>
      <c r="P252" s="87"/>
      <c r="Q252" s="87"/>
      <c r="R252" s="87"/>
      <c r="S252" s="87"/>
      <c r="T252" s="87"/>
      <c r="U252" s="87"/>
      <c r="V252" s="87"/>
      <c r="W252" s="87"/>
    </row>
    <row r="253" spans="1:23" ht="11.25" customHeight="1" x14ac:dyDescent="0.25">
      <c r="A253" s="1028">
        <f t="shared" si="27"/>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customHeight="1" x14ac:dyDescent="0.25">
      <c r="A254" s="1028">
        <f t="shared" si="27"/>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5" customHeight="1" x14ac:dyDescent="0.25">
      <c r="A255" s="1027" t="str">
        <f t="shared" si="27"/>
        <v>Vote 9 - [NAME OF VOTE 9]</v>
      </c>
      <c r="B255" s="905"/>
      <c r="C255" s="849">
        <f t="shared" ref="C255:K255" si="28">SUM(C256:C265)</f>
        <v>0</v>
      </c>
      <c r="D255" s="849">
        <f t="shared" si="28"/>
        <v>0</v>
      </c>
      <c r="E255" s="850">
        <f t="shared" si="28"/>
        <v>0</v>
      </c>
      <c r="F255" s="851">
        <f t="shared" si="28"/>
        <v>0</v>
      </c>
      <c r="G255" s="849">
        <f t="shared" si="28"/>
        <v>0</v>
      </c>
      <c r="H255" s="852">
        <f t="shared" si="28"/>
        <v>0</v>
      </c>
      <c r="I255" s="853">
        <f t="shared" si="28"/>
        <v>0</v>
      </c>
      <c r="J255" s="849">
        <f t="shared" si="28"/>
        <v>0</v>
      </c>
      <c r="K255" s="850">
        <f t="shared" si="28"/>
        <v>0</v>
      </c>
      <c r="L255" s="86"/>
      <c r="M255" s="87"/>
      <c r="N255" s="87"/>
      <c r="O255" s="87"/>
      <c r="P255" s="87"/>
      <c r="Q255" s="87"/>
      <c r="R255" s="87"/>
      <c r="S255" s="87"/>
      <c r="T255" s="87"/>
      <c r="U255" s="87"/>
      <c r="V255" s="87"/>
      <c r="W255" s="87"/>
    </row>
    <row r="256" spans="1:23" ht="11.25" customHeight="1" x14ac:dyDescent="0.25">
      <c r="A256" s="1028" t="str">
        <f t="shared" si="27"/>
        <v>9.1 - [Name of sub-vote]</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customHeight="1" x14ac:dyDescent="0.25">
      <c r="A257" s="1028">
        <f t="shared" si="27"/>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customHeight="1" x14ac:dyDescent="0.25">
      <c r="A258" s="1028">
        <f t="shared" si="27"/>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27"/>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27"/>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1.25" customHeight="1" x14ac:dyDescent="0.25">
      <c r="A261" s="1028">
        <f t="shared" si="27"/>
        <v>0</v>
      </c>
      <c r="B261" s="905"/>
      <c r="C261" s="912"/>
      <c r="D261" s="912"/>
      <c r="E261" s="913"/>
      <c r="F261" s="914"/>
      <c r="G261" s="912"/>
      <c r="H261" s="915"/>
      <c r="I261" s="916"/>
      <c r="J261" s="912"/>
      <c r="K261" s="913"/>
      <c r="L261" s="86"/>
      <c r="M261" s="87"/>
      <c r="N261" s="87"/>
      <c r="O261" s="87"/>
      <c r="P261" s="87"/>
      <c r="Q261" s="87"/>
      <c r="R261" s="87"/>
      <c r="S261" s="87"/>
      <c r="T261" s="87"/>
      <c r="U261" s="87"/>
      <c r="V261" s="87"/>
      <c r="W261" s="87"/>
    </row>
    <row r="262" spans="1:23" ht="11.25" customHeight="1" x14ac:dyDescent="0.25">
      <c r="A262" s="1028">
        <f t="shared" si="27"/>
        <v>0</v>
      </c>
      <c r="B262" s="905"/>
      <c r="C262" s="912"/>
      <c r="D262" s="912"/>
      <c r="E262" s="913"/>
      <c r="F262" s="914"/>
      <c r="G262" s="912"/>
      <c r="H262" s="915"/>
      <c r="I262" s="916"/>
      <c r="J262" s="912"/>
      <c r="K262" s="913"/>
      <c r="L262" s="86"/>
      <c r="M262" s="87"/>
      <c r="N262" s="87"/>
      <c r="O262" s="87"/>
      <c r="P262" s="87"/>
      <c r="Q262" s="87"/>
      <c r="R262" s="87"/>
      <c r="S262" s="87"/>
      <c r="T262" s="87"/>
      <c r="U262" s="87"/>
      <c r="V262" s="87"/>
      <c r="W262" s="87"/>
    </row>
    <row r="263" spans="1:23" ht="11.25" customHeight="1" x14ac:dyDescent="0.25">
      <c r="A263" s="1028">
        <f t="shared" si="27"/>
        <v>0</v>
      </c>
      <c r="B263" s="905"/>
      <c r="C263" s="912"/>
      <c r="D263" s="912"/>
      <c r="E263" s="913"/>
      <c r="F263" s="914"/>
      <c r="G263" s="912"/>
      <c r="H263" s="915"/>
      <c r="I263" s="916"/>
      <c r="J263" s="912"/>
      <c r="K263" s="913"/>
      <c r="L263" s="86"/>
      <c r="M263" s="87"/>
      <c r="N263" s="87"/>
      <c r="O263" s="87"/>
      <c r="P263" s="87"/>
      <c r="Q263" s="87"/>
      <c r="R263" s="87"/>
      <c r="S263" s="87"/>
      <c r="T263" s="87"/>
      <c r="U263" s="87"/>
      <c r="V263" s="87"/>
      <c r="W263" s="87"/>
    </row>
    <row r="264" spans="1:23" ht="11.25" customHeight="1" x14ac:dyDescent="0.25">
      <c r="A264" s="1028">
        <f t="shared" si="27"/>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27"/>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5" customHeight="1" x14ac:dyDescent="0.25">
      <c r="A266" s="1027" t="str">
        <f>A98</f>
        <v>Vote 10 - [NAME OF VOTE 10]</v>
      </c>
      <c r="B266" s="905"/>
      <c r="C266" s="849">
        <f t="shared" ref="C266:K266" si="29">SUM(C267:C276)</f>
        <v>0</v>
      </c>
      <c r="D266" s="849">
        <f t="shared" si="29"/>
        <v>0</v>
      </c>
      <c r="E266" s="850">
        <f t="shared" si="29"/>
        <v>0</v>
      </c>
      <c r="F266" s="851">
        <f t="shared" si="29"/>
        <v>0</v>
      </c>
      <c r="G266" s="849">
        <f t="shared" si="29"/>
        <v>0</v>
      </c>
      <c r="H266" s="852">
        <f t="shared" si="29"/>
        <v>0</v>
      </c>
      <c r="I266" s="853">
        <f t="shared" si="29"/>
        <v>0</v>
      </c>
      <c r="J266" s="849">
        <f t="shared" si="29"/>
        <v>0</v>
      </c>
      <c r="K266" s="850">
        <f t="shared" si="29"/>
        <v>0</v>
      </c>
      <c r="L266" s="86"/>
      <c r="M266" s="87"/>
      <c r="N266" s="87"/>
      <c r="O266" s="87"/>
      <c r="P266" s="87"/>
      <c r="Q266" s="87"/>
      <c r="R266" s="87"/>
      <c r="S266" s="87"/>
      <c r="T266" s="87"/>
      <c r="U266" s="87"/>
      <c r="V266" s="87"/>
      <c r="W266" s="87"/>
    </row>
    <row r="267" spans="1:23" ht="11.25" customHeight="1" x14ac:dyDescent="0.25">
      <c r="A267" s="1028" t="str">
        <f>A99</f>
        <v>10.1 - [Name of sub-vote]</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ref="A268:A275" si="30">A100</f>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0"/>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0"/>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0"/>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1.25" customHeight="1" x14ac:dyDescent="0.25">
      <c r="A272" s="1028">
        <f t="shared" si="30"/>
        <v>0</v>
      </c>
      <c r="B272" s="905"/>
      <c r="C272" s="912"/>
      <c r="D272" s="912"/>
      <c r="E272" s="913"/>
      <c r="F272" s="914"/>
      <c r="G272" s="912"/>
      <c r="H272" s="915"/>
      <c r="I272" s="916"/>
      <c r="J272" s="912"/>
      <c r="K272" s="913"/>
      <c r="L272" s="86"/>
      <c r="M272" s="87"/>
      <c r="N272" s="87"/>
      <c r="O272" s="87"/>
      <c r="P272" s="87"/>
      <c r="Q272" s="87"/>
      <c r="R272" s="87"/>
      <c r="S272" s="87"/>
      <c r="T272" s="87"/>
      <c r="U272" s="87"/>
      <c r="V272" s="87"/>
      <c r="W272" s="87"/>
    </row>
    <row r="273" spans="1:23" ht="11.25" customHeight="1" x14ac:dyDescent="0.25">
      <c r="A273" s="1028">
        <f t="shared" si="30"/>
        <v>0</v>
      </c>
      <c r="B273" s="905"/>
      <c r="C273" s="912"/>
      <c r="D273" s="912"/>
      <c r="E273" s="913"/>
      <c r="F273" s="914"/>
      <c r="G273" s="912"/>
      <c r="H273" s="915"/>
      <c r="I273" s="916"/>
      <c r="J273" s="912"/>
      <c r="K273" s="913"/>
      <c r="L273" s="86"/>
      <c r="M273" s="87"/>
      <c r="N273" s="87"/>
      <c r="O273" s="87"/>
      <c r="P273" s="87"/>
      <c r="Q273" s="87"/>
      <c r="R273" s="87"/>
      <c r="S273" s="87"/>
      <c r="T273" s="87"/>
      <c r="U273" s="87"/>
      <c r="V273" s="87"/>
      <c r="W273" s="87"/>
    </row>
    <row r="274" spans="1:23" ht="11.25" customHeight="1" x14ac:dyDescent="0.25">
      <c r="A274" s="1028">
        <f t="shared" si="30"/>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customHeight="1" x14ac:dyDescent="0.25">
      <c r="A275" s="1028">
        <f t="shared" si="30"/>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customHeight="1" x14ac:dyDescent="0.25">
      <c r="A276" s="1028">
        <f>A108</f>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5" customHeight="1" x14ac:dyDescent="0.25">
      <c r="A277" s="1027" t="str">
        <f>A109</f>
        <v>Vote 11 - [NAME OF VOTE 11]</v>
      </c>
      <c r="B277" s="905"/>
      <c r="C277" s="849">
        <f t="shared" ref="C277:K277" si="31">SUM(C278:C287)</f>
        <v>0</v>
      </c>
      <c r="D277" s="849">
        <f t="shared" si="31"/>
        <v>0</v>
      </c>
      <c r="E277" s="850">
        <f t="shared" si="31"/>
        <v>0</v>
      </c>
      <c r="F277" s="851">
        <f t="shared" si="31"/>
        <v>0</v>
      </c>
      <c r="G277" s="849">
        <f t="shared" si="31"/>
        <v>0</v>
      </c>
      <c r="H277" s="852">
        <f t="shared" si="31"/>
        <v>0</v>
      </c>
      <c r="I277" s="853">
        <f t="shared" si="31"/>
        <v>0</v>
      </c>
      <c r="J277" s="849">
        <f t="shared" si="31"/>
        <v>0</v>
      </c>
      <c r="K277" s="850">
        <f t="shared" si="31"/>
        <v>0</v>
      </c>
      <c r="L277" s="86"/>
      <c r="M277" s="87"/>
      <c r="N277" s="87"/>
      <c r="O277" s="87"/>
      <c r="P277" s="87"/>
      <c r="Q277" s="87"/>
      <c r="R277" s="87"/>
      <c r="S277" s="87"/>
      <c r="T277" s="87"/>
      <c r="U277" s="87"/>
      <c r="V277" s="87"/>
      <c r="W277" s="87"/>
    </row>
    <row r="278" spans="1:23" ht="11.25" customHeight="1" x14ac:dyDescent="0.25">
      <c r="A278" s="1028" t="str">
        <f>A110</f>
        <v>11.1 - [Name of sub-vote]</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ref="A279:A331" si="32">A111</f>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2"/>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2"/>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 t="shared" si="32"/>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1.25" customHeight="1" x14ac:dyDescent="0.25">
      <c r="A283" s="1028">
        <f t="shared" si="32"/>
        <v>0</v>
      </c>
      <c r="B283" s="905"/>
      <c r="C283" s="912"/>
      <c r="D283" s="912"/>
      <c r="E283" s="913"/>
      <c r="F283" s="914"/>
      <c r="G283" s="912"/>
      <c r="H283" s="915"/>
      <c r="I283" s="916"/>
      <c r="J283" s="912"/>
      <c r="K283" s="913"/>
      <c r="L283" s="86"/>
      <c r="M283" s="87"/>
      <c r="N283" s="87"/>
      <c r="O283" s="87"/>
      <c r="P283" s="87"/>
      <c r="Q283" s="87"/>
      <c r="R283" s="87"/>
      <c r="S283" s="87"/>
      <c r="T283" s="87"/>
      <c r="U283" s="87"/>
      <c r="V283" s="87"/>
      <c r="W283" s="87"/>
    </row>
    <row r="284" spans="1:23" ht="11.25" customHeight="1" x14ac:dyDescent="0.25">
      <c r="A284" s="1028">
        <f t="shared" si="32"/>
        <v>0</v>
      </c>
      <c r="B284" s="905"/>
      <c r="C284" s="912"/>
      <c r="D284" s="912"/>
      <c r="E284" s="913"/>
      <c r="F284" s="914"/>
      <c r="G284" s="912"/>
      <c r="H284" s="915"/>
      <c r="I284" s="916"/>
      <c r="J284" s="912"/>
      <c r="K284" s="913"/>
      <c r="L284" s="86"/>
      <c r="M284" s="87"/>
      <c r="N284" s="87"/>
      <c r="O284" s="87"/>
      <c r="P284" s="87"/>
      <c r="Q284" s="87"/>
      <c r="R284" s="87"/>
      <c r="S284" s="87"/>
      <c r="T284" s="87"/>
      <c r="U284" s="87"/>
      <c r="V284" s="87"/>
      <c r="W284" s="87"/>
    </row>
    <row r="285" spans="1:23" ht="11.25" customHeight="1" x14ac:dyDescent="0.25">
      <c r="A285" s="1028">
        <f t="shared" si="32"/>
        <v>0</v>
      </c>
      <c r="B285" s="905"/>
      <c r="C285" s="912"/>
      <c r="D285" s="912"/>
      <c r="E285" s="913"/>
      <c r="F285" s="914"/>
      <c r="G285" s="912"/>
      <c r="H285" s="915"/>
      <c r="I285" s="916"/>
      <c r="J285" s="912"/>
      <c r="K285" s="913"/>
      <c r="L285" s="86"/>
      <c r="M285" s="87"/>
      <c r="N285" s="87"/>
      <c r="O285" s="87"/>
      <c r="P285" s="87"/>
      <c r="Q285" s="87"/>
      <c r="R285" s="87"/>
      <c r="S285" s="87"/>
      <c r="T285" s="87"/>
      <c r="U285" s="87"/>
      <c r="V285" s="87"/>
      <c r="W285" s="87"/>
    </row>
    <row r="286" spans="1:23" ht="11.25" customHeight="1" x14ac:dyDescent="0.25">
      <c r="A286" s="1028">
        <f t="shared" si="32"/>
        <v>0</v>
      </c>
      <c r="B286" s="905"/>
      <c r="C286" s="912"/>
      <c r="D286" s="912"/>
      <c r="E286" s="913"/>
      <c r="F286" s="914"/>
      <c r="G286" s="912"/>
      <c r="H286" s="915"/>
      <c r="I286" s="916"/>
      <c r="J286" s="912"/>
      <c r="K286" s="913"/>
      <c r="L286" s="86"/>
      <c r="M286" s="87"/>
      <c r="N286" s="87"/>
      <c r="O286" s="87"/>
      <c r="P286" s="87"/>
      <c r="Q286" s="87"/>
      <c r="R286" s="87"/>
      <c r="S286" s="87"/>
      <c r="T286" s="87"/>
      <c r="U286" s="87"/>
      <c r="V286" s="87"/>
      <c r="W286" s="87"/>
    </row>
    <row r="287" spans="1:23" ht="11.25" customHeight="1" x14ac:dyDescent="0.25">
      <c r="A287" s="1028">
        <f t="shared" si="32"/>
        <v>0</v>
      </c>
      <c r="B287" s="905"/>
      <c r="C287" s="912"/>
      <c r="D287" s="912"/>
      <c r="E287" s="913"/>
      <c r="F287" s="914"/>
      <c r="G287" s="912"/>
      <c r="H287" s="915"/>
      <c r="I287" s="916"/>
      <c r="J287" s="912"/>
      <c r="K287" s="913"/>
      <c r="L287" s="86"/>
      <c r="M287" s="87"/>
      <c r="N287" s="87"/>
      <c r="O287" s="87"/>
      <c r="P287" s="87"/>
      <c r="Q287" s="87"/>
      <c r="R287" s="87"/>
      <c r="S287" s="87"/>
      <c r="T287" s="87"/>
      <c r="U287" s="87"/>
      <c r="V287" s="87"/>
      <c r="W287" s="87"/>
    </row>
    <row r="288" spans="1:23" ht="15" customHeight="1" x14ac:dyDescent="0.25">
      <c r="A288" s="1027" t="str">
        <f t="shared" si="32"/>
        <v>Vote 12 - [NAME OF VOTE 12]</v>
      </c>
      <c r="B288" s="905"/>
      <c r="C288" s="849">
        <f t="shared" ref="C288:K288" si="33">SUM(C289:C298)</f>
        <v>0</v>
      </c>
      <c r="D288" s="849">
        <f t="shared" si="33"/>
        <v>0</v>
      </c>
      <c r="E288" s="850">
        <f t="shared" si="33"/>
        <v>0</v>
      </c>
      <c r="F288" s="851">
        <f t="shared" si="33"/>
        <v>0</v>
      </c>
      <c r="G288" s="849">
        <f t="shared" si="33"/>
        <v>0</v>
      </c>
      <c r="H288" s="852">
        <f t="shared" si="33"/>
        <v>0</v>
      </c>
      <c r="I288" s="853">
        <f t="shared" si="33"/>
        <v>0</v>
      </c>
      <c r="J288" s="849">
        <f t="shared" si="33"/>
        <v>0</v>
      </c>
      <c r="K288" s="850">
        <f t="shared" si="33"/>
        <v>0</v>
      </c>
      <c r="L288" s="86"/>
      <c r="M288" s="87"/>
      <c r="N288" s="87"/>
      <c r="O288" s="87"/>
      <c r="P288" s="87"/>
      <c r="Q288" s="87"/>
      <c r="R288" s="87"/>
      <c r="S288" s="87"/>
      <c r="T288" s="87"/>
      <c r="U288" s="87"/>
      <c r="V288" s="87"/>
      <c r="W288" s="87"/>
    </row>
    <row r="289" spans="1:23" ht="11.25" customHeight="1" x14ac:dyDescent="0.25">
      <c r="A289" s="1028" t="str">
        <f t="shared" si="32"/>
        <v>12.1 - [Name of sub-vote]</v>
      </c>
      <c r="B289" s="905"/>
      <c r="C289" s="912"/>
      <c r="D289" s="912"/>
      <c r="E289" s="913"/>
      <c r="F289" s="914"/>
      <c r="G289" s="912"/>
      <c r="H289" s="915"/>
      <c r="I289" s="916"/>
      <c r="J289" s="912"/>
      <c r="K289" s="913"/>
      <c r="L289" s="86"/>
      <c r="M289" s="87"/>
      <c r="N289" s="87"/>
      <c r="O289" s="87"/>
      <c r="P289" s="87"/>
      <c r="Q289" s="87"/>
      <c r="R289" s="87"/>
      <c r="S289" s="87"/>
      <c r="T289" s="87"/>
      <c r="U289" s="87"/>
      <c r="V289" s="87"/>
      <c r="W289" s="87"/>
    </row>
    <row r="290" spans="1:23" ht="11.25" customHeight="1" x14ac:dyDescent="0.25">
      <c r="A290" s="1028">
        <f t="shared" si="32"/>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2"/>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2"/>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2"/>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1.25" customHeight="1" x14ac:dyDescent="0.25">
      <c r="A294" s="1028">
        <f t="shared" si="32"/>
        <v>0</v>
      </c>
      <c r="B294" s="905"/>
      <c r="C294" s="912"/>
      <c r="D294" s="912"/>
      <c r="E294" s="913"/>
      <c r="F294" s="914"/>
      <c r="G294" s="912"/>
      <c r="H294" s="915"/>
      <c r="I294" s="916"/>
      <c r="J294" s="912"/>
      <c r="K294" s="913"/>
      <c r="L294" s="86"/>
      <c r="M294" s="87"/>
      <c r="N294" s="87"/>
      <c r="O294" s="87"/>
      <c r="P294" s="87"/>
      <c r="Q294" s="87"/>
      <c r="R294" s="87"/>
      <c r="S294" s="87"/>
      <c r="T294" s="87"/>
      <c r="U294" s="87"/>
      <c r="V294" s="87"/>
      <c r="W294" s="87"/>
    </row>
    <row r="295" spans="1:23" ht="11.25" customHeight="1" x14ac:dyDescent="0.25">
      <c r="A295" s="1028">
        <f t="shared" si="32"/>
        <v>0</v>
      </c>
      <c r="B295" s="905"/>
      <c r="C295" s="912"/>
      <c r="D295" s="912"/>
      <c r="E295" s="913"/>
      <c r="F295" s="914"/>
      <c r="G295" s="912"/>
      <c r="H295" s="915"/>
      <c r="I295" s="916"/>
      <c r="J295" s="912"/>
      <c r="K295" s="913"/>
      <c r="L295" s="86"/>
      <c r="M295" s="87"/>
      <c r="N295" s="87"/>
      <c r="O295" s="87"/>
      <c r="P295" s="87"/>
      <c r="Q295" s="87"/>
      <c r="R295" s="87"/>
      <c r="S295" s="87"/>
      <c r="T295" s="87"/>
      <c r="U295" s="87"/>
      <c r="V295" s="87"/>
      <c r="W295" s="87"/>
    </row>
    <row r="296" spans="1:23" ht="11.25" customHeight="1" x14ac:dyDescent="0.25">
      <c r="A296" s="1028">
        <f t="shared" si="32"/>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2"/>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2"/>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5" customHeight="1" x14ac:dyDescent="0.25">
      <c r="A299" s="1027" t="str">
        <f t="shared" si="32"/>
        <v>Vote 13 - [NAME OF VOTE 13]</v>
      </c>
      <c r="B299" s="905"/>
      <c r="C299" s="849">
        <f t="shared" ref="C299:K299" si="34">SUM(C300:C309)</f>
        <v>0</v>
      </c>
      <c r="D299" s="849">
        <f t="shared" si="34"/>
        <v>0</v>
      </c>
      <c r="E299" s="850">
        <f t="shared" si="34"/>
        <v>0</v>
      </c>
      <c r="F299" s="851">
        <f t="shared" si="34"/>
        <v>0</v>
      </c>
      <c r="G299" s="849">
        <f t="shared" si="34"/>
        <v>0</v>
      </c>
      <c r="H299" s="852">
        <f t="shared" si="34"/>
        <v>0</v>
      </c>
      <c r="I299" s="853">
        <f t="shared" si="34"/>
        <v>0</v>
      </c>
      <c r="J299" s="849">
        <f t="shared" si="34"/>
        <v>0</v>
      </c>
      <c r="K299" s="850">
        <f t="shared" si="34"/>
        <v>0</v>
      </c>
      <c r="L299" s="86"/>
      <c r="M299" s="87"/>
      <c r="N299" s="87"/>
      <c r="O299" s="87"/>
      <c r="P299" s="87"/>
      <c r="Q299" s="87"/>
      <c r="R299" s="87"/>
      <c r="S299" s="87"/>
      <c r="T299" s="87"/>
      <c r="U299" s="87"/>
      <c r="V299" s="87"/>
      <c r="W299" s="87"/>
    </row>
    <row r="300" spans="1:23" ht="11.25" customHeight="1" x14ac:dyDescent="0.25">
      <c r="A300" s="1028" t="str">
        <f t="shared" si="32"/>
        <v>13.1 - [Name of sub-vote]</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2"/>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2"/>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2"/>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2"/>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1.25" customHeight="1" x14ac:dyDescent="0.25">
      <c r="A305" s="1028">
        <f t="shared" si="32"/>
        <v>0</v>
      </c>
      <c r="B305" s="905"/>
      <c r="C305" s="912"/>
      <c r="D305" s="912"/>
      <c r="E305" s="913"/>
      <c r="F305" s="914"/>
      <c r="G305" s="912"/>
      <c r="H305" s="915"/>
      <c r="I305" s="916"/>
      <c r="J305" s="912"/>
      <c r="K305" s="913"/>
      <c r="L305" s="86"/>
      <c r="M305" s="87"/>
      <c r="N305" s="87"/>
      <c r="O305" s="87"/>
      <c r="P305" s="87"/>
      <c r="Q305" s="87"/>
      <c r="R305" s="87"/>
      <c r="S305" s="87"/>
      <c r="T305" s="87"/>
      <c r="U305" s="87"/>
      <c r="V305" s="87"/>
      <c r="W305" s="87"/>
    </row>
    <row r="306" spans="1:23" ht="11.25" customHeight="1" x14ac:dyDescent="0.25">
      <c r="A306" s="1028">
        <f t="shared" si="32"/>
        <v>0</v>
      </c>
      <c r="B306" s="905"/>
      <c r="C306" s="912"/>
      <c r="D306" s="912"/>
      <c r="E306" s="913"/>
      <c r="F306" s="914"/>
      <c r="G306" s="912"/>
      <c r="H306" s="915"/>
      <c r="I306" s="916"/>
      <c r="J306" s="912"/>
      <c r="K306" s="913"/>
      <c r="L306" s="86"/>
      <c r="M306" s="87"/>
      <c r="N306" s="87"/>
      <c r="O306" s="87"/>
      <c r="P306" s="87"/>
      <c r="Q306" s="87"/>
      <c r="R306" s="87"/>
      <c r="S306" s="87"/>
      <c r="T306" s="87"/>
      <c r="U306" s="87"/>
      <c r="V306" s="87"/>
      <c r="W306" s="87"/>
    </row>
    <row r="307" spans="1:23" ht="11.25" customHeight="1" x14ac:dyDescent="0.25">
      <c r="A307" s="1028">
        <f t="shared" si="32"/>
        <v>0</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2"/>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2"/>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5" customHeight="1" x14ac:dyDescent="0.25">
      <c r="A310" s="1027" t="str">
        <f t="shared" si="32"/>
        <v>Vote 14 - [NAME OF VOTE 14]</v>
      </c>
      <c r="B310" s="905"/>
      <c r="C310" s="849">
        <f t="shared" ref="C310:K310" si="35">SUM(C311:C320)</f>
        <v>0</v>
      </c>
      <c r="D310" s="849">
        <f t="shared" si="35"/>
        <v>0</v>
      </c>
      <c r="E310" s="850">
        <f t="shared" si="35"/>
        <v>0</v>
      </c>
      <c r="F310" s="851">
        <f t="shared" si="35"/>
        <v>0</v>
      </c>
      <c r="G310" s="849">
        <f t="shared" si="35"/>
        <v>0</v>
      </c>
      <c r="H310" s="852">
        <f t="shared" si="35"/>
        <v>0</v>
      </c>
      <c r="I310" s="853">
        <f t="shared" si="35"/>
        <v>0</v>
      </c>
      <c r="J310" s="849">
        <f t="shared" si="35"/>
        <v>0</v>
      </c>
      <c r="K310" s="850">
        <f t="shared" si="35"/>
        <v>0</v>
      </c>
      <c r="L310" s="86"/>
      <c r="M310" s="87"/>
      <c r="N310" s="87"/>
      <c r="O310" s="87"/>
      <c r="P310" s="87"/>
      <c r="Q310" s="87"/>
      <c r="R310" s="87"/>
      <c r="S310" s="87"/>
      <c r="T310" s="87"/>
      <c r="U310" s="87"/>
      <c r="V310" s="87"/>
      <c r="W310" s="87"/>
    </row>
    <row r="311" spans="1:23" ht="11.25" customHeight="1" x14ac:dyDescent="0.25">
      <c r="A311" s="1028" t="str">
        <f t="shared" si="32"/>
        <v>14.1 - [Name of sub-vote]</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2"/>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2"/>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2"/>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2"/>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1.25" customHeight="1" x14ac:dyDescent="0.25">
      <c r="A316" s="1028">
        <f t="shared" si="32"/>
        <v>0</v>
      </c>
      <c r="B316" s="905"/>
      <c r="C316" s="912"/>
      <c r="D316" s="912"/>
      <c r="E316" s="913"/>
      <c r="F316" s="914"/>
      <c r="G316" s="912"/>
      <c r="H316" s="915"/>
      <c r="I316" s="916"/>
      <c r="J316" s="912"/>
      <c r="K316" s="913"/>
      <c r="L316" s="86"/>
      <c r="M316" s="87"/>
      <c r="N316" s="87"/>
      <c r="O316" s="87"/>
      <c r="P316" s="87"/>
      <c r="Q316" s="87"/>
      <c r="R316" s="87"/>
      <c r="S316" s="87"/>
      <c r="T316" s="87"/>
      <c r="U316" s="87"/>
      <c r="V316" s="87"/>
      <c r="W316" s="87"/>
    </row>
    <row r="317" spans="1:23" ht="11.25" customHeight="1" x14ac:dyDescent="0.25">
      <c r="A317" s="1028">
        <f t="shared" si="32"/>
        <v>0</v>
      </c>
      <c r="B317" s="905"/>
      <c r="C317" s="912"/>
      <c r="D317" s="912"/>
      <c r="E317" s="913"/>
      <c r="F317" s="914"/>
      <c r="G317" s="912"/>
      <c r="H317" s="915"/>
      <c r="I317" s="916"/>
      <c r="J317" s="912"/>
      <c r="K317" s="913"/>
      <c r="L317" s="86"/>
      <c r="M317" s="87"/>
      <c r="N317" s="87"/>
      <c r="O317" s="87"/>
      <c r="P317" s="87"/>
      <c r="Q317" s="87"/>
      <c r="R317" s="87"/>
      <c r="S317" s="87"/>
      <c r="T317" s="87"/>
      <c r="U317" s="87"/>
      <c r="V317" s="87"/>
      <c r="W317" s="87"/>
    </row>
    <row r="318" spans="1:23" ht="11.25" customHeight="1" x14ac:dyDescent="0.25">
      <c r="A318" s="1028">
        <f t="shared" si="32"/>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2"/>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2"/>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5" customHeight="1" x14ac:dyDescent="0.25">
      <c r="A321" s="1027" t="str">
        <f t="shared" si="32"/>
        <v>Vote 15 - [NAME OF VOTE 15]</v>
      </c>
      <c r="B321" s="905"/>
      <c r="C321" s="849">
        <f t="shared" ref="C321:K321" si="36">SUM(C322:C331)</f>
        <v>0</v>
      </c>
      <c r="D321" s="849">
        <f t="shared" si="36"/>
        <v>0</v>
      </c>
      <c r="E321" s="850">
        <f t="shared" si="36"/>
        <v>0</v>
      </c>
      <c r="F321" s="851">
        <f t="shared" si="36"/>
        <v>0</v>
      </c>
      <c r="G321" s="849">
        <f t="shared" si="36"/>
        <v>0</v>
      </c>
      <c r="H321" s="852">
        <f t="shared" si="36"/>
        <v>0</v>
      </c>
      <c r="I321" s="853">
        <f t="shared" si="36"/>
        <v>0</v>
      </c>
      <c r="J321" s="849">
        <f t="shared" si="36"/>
        <v>0</v>
      </c>
      <c r="K321" s="850">
        <f t="shared" si="36"/>
        <v>0</v>
      </c>
      <c r="L321" s="86"/>
      <c r="M321" s="87"/>
      <c r="N321" s="87"/>
      <c r="O321" s="87"/>
      <c r="P321" s="87"/>
      <c r="Q321" s="87"/>
      <c r="R321" s="87"/>
      <c r="S321" s="87"/>
      <c r="T321" s="87"/>
      <c r="U321" s="87"/>
      <c r="V321" s="87"/>
      <c r="W321" s="87"/>
    </row>
    <row r="322" spans="1:23" ht="11.25" customHeight="1" x14ac:dyDescent="0.25">
      <c r="A322" s="1028" t="str">
        <f t="shared" si="32"/>
        <v>15.1 - [Name of sub-vote]</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2"/>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2"/>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2"/>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2"/>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1.25" customHeight="1" x14ac:dyDescent="0.25">
      <c r="A327" s="1028">
        <f t="shared" si="32"/>
        <v>0</v>
      </c>
      <c r="B327" s="905"/>
      <c r="C327" s="912"/>
      <c r="D327" s="912"/>
      <c r="E327" s="913"/>
      <c r="F327" s="914"/>
      <c r="G327" s="912"/>
      <c r="H327" s="915"/>
      <c r="I327" s="916"/>
      <c r="J327" s="912"/>
      <c r="K327" s="913"/>
      <c r="L327" s="86"/>
      <c r="M327" s="87"/>
      <c r="N327" s="87"/>
      <c r="O327" s="87"/>
      <c r="P327" s="87"/>
      <c r="Q327" s="87"/>
      <c r="R327" s="87"/>
      <c r="S327" s="87"/>
      <c r="T327" s="87"/>
      <c r="U327" s="87"/>
      <c r="V327" s="87"/>
      <c r="W327" s="87"/>
    </row>
    <row r="328" spans="1:23" ht="11.25" customHeight="1" x14ac:dyDescent="0.25">
      <c r="A328" s="1028">
        <f t="shared" si="32"/>
        <v>0</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2"/>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2"/>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2"/>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75" t="s">
        <v>178</v>
      </c>
      <c r="B332" s="905">
        <v>2</v>
      </c>
      <c r="C332" s="91">
        <f>C167+C178+C189+C200+C211+C222+C233+C244+C255+C277+C288+C299+C310+C321+C266</f>
        <v>153405509.930738</v>
      </c>
      <c r="D332" s="91">
        <f>D167+D178+D189+D200+D211+D222+D233+D244+D255+D277+D288+D299+D310+D321+D266</f>
        <v>168264595.41113099</v>
      </c>
      <c r="E332" s="92">
        <f t="shared" ref="E332:K332" si="37">E167+E178+E189+E200+E211+E222+E233+E244+E255+E277+E288+E299+E310+E321+E266</f>
        <v>178873710.00199997</v>
      </c>
      <c r="F332" s="93">
        <f t="shared" si="37"/>
        <v>305416992.48000002</v>
      </c>
      <c r="G332" s="91">
        <f t="shared" si="37"/>
        <v>298835365.98999995</v>
      </c>
      <c r="H332" s="90">
        <f t="shared" si="37"/>
        <v>298835365.98999995</v>
      </c>
      <c r="I332" s="94">
        <f t="shared" si="37"/>
        <v>314026865.42393416</v>
      </c>
      <c r="J332" s="91">
        <f t="shared" si="37"/>
        <v>331253377.33629936</v>
      </c>
      <c r="K332" s="92">
        <f t="shared" si="37"/>
        <v>352012139.97647738</v>
      </c>
      <c r="L332" s="77">
        <f t="shared" ref="L332:W332" si="38">SUM(L167:L243)</f>
        <v>0</v>
      </c>
      <c r="M332" s="78">
        <f t="shared" si="38"/>
        <v>0</v>
      </c>
      <c r="N332" s="78">
        <f t="shared" si="38"/>
        <v>0</v>
      </c>
      <c r="O332" s="78">
        <f t="shared" si="38"/>
        <v>0</v>
      </c>
      <c r="P332" s="78">
        <f t="shared" si="38"/>
        <v>0</v>
      </c>
      <c r="Q332" s="78">
        <f t="shared" si="38"/>
        <v>0</v>
      </c>
      <c r="R332" s="78">
        <f t="shared" si="38"/>
        <v>0</v>
      </c>
      <c r="S332" s="78">
        <f t="shared" si="38"/>
        <v>0</v>
      </c>
      <c r="T332" s="78">
        <f t="shared" si="38"/>
        <v>0</v>
      </c>
      <c r="U332" s="78">
        <f t="shared" si="38"/>
        <v>0</v>
      </c>
      <c r="V332" s="78">
        <f t="shared" si="38"/>
        <v>0</v>
      </c>
      <c r="W332" s="78">
        <f t="shared" si="38"/>
        <v>0</v>
      </c>
    </row>
    <row r="333" spans="1:23" ht="5.0999999999999996" customHeight="1" x14ac:dyDescent="0.25">
      <c r="A333" s="79"/>
      <c r="B333" s="905"/>
      <c r="C333" s="96"/>
      <c r="D333" s="96"/>
      <c r="E333" s="97"/>
      <c r="F333" s="98"/>
      <c r="G333" s="96"/>
      <c r="H333" s="95"/>
      <c r="I333" s="99"/>
      <c r="J333" s="96"/>
      <c r="K333" s="97"/>
      <c r="L333" s="100"/>
      <c r="M333" s="101"/>
      <c r="N333" s="101"/>
      <c r="O333" s="101"/>
      <c r="P333" s="101"/>
      <c r="Q333" s="101"/>
      <c r="R333" s="101"/>
      <c r="S333" s="101"/>
      <c r="T333" s="101"/>
      <c r="U333" s="101"/>
      <c r="V333" s="101"/>
      <c r="W333" s="101"/>
    </row>
    <row r="334" spans="1:23" ht="13.5" thickBot="1" x14ac:dyDescent="0.3">
      <c r="A334" s="102" t="str">
        <f>result</f>
        <v>Surplus/(Deficit) for the year</v>
      </c>
      <c r="B334" s="906">
        <v>2</v>
      </c>
      <c r="C334" s="105">
        <f t="shared" ref="C334:K334" si="39">C164-C332</f>
        <v>25483667.03946203</v>
      </c>
      <c r="D334" s="105">
        <f t="shared" si="39"/>
        <v>12280912.588869005</v>
      </c>
      <c r="E334" s="106">
        <f t="shared" si="39"/>
        <v>39856502.998000026</v>
      </c>
      <c r="F334" s="107">
        <f t="shared" si="39"/>
        <v>-48242641.790000021</v>
      </c>
      <c r="G334" s="108">
        <f t="shared" si="39"/>
        <v>-39693504.389999986</v>
      </c>
      <c r="H334" s="109">
        <f t="shared" si="39"/>
        <v>-39693504.389999986</v>
      </c>
      <c r="I334" s="110">
        <f t="shared" si="39"/>
        <v>-52258000.003934205</v>
      </c>
      <c r="J334" s="108">
        <f t="shared" si="39"/>
        <v>-52151839.996299386</v>
      </c>
      <c r="K334" s="106">
        <f t="shared" si="39"/>
        <v>-55529410.396477342</v>
      </c>
      <c r="L334" s="111">
        <f t="shared" ref="L334:W334" si="40">L164-L332</f>
        <v>0</v>
      </c>
      <c r="M334" s="112">
        <f t="shared" si="40"/>
        <v>0</v>
      </c>
      <c r="N334" s="112">
        <f t="shared" si="40"/>
        <v>0</v>
      </c>
      <c r="O334" s="112">
        <f t="shared" si="40"/>
        <v>0</v>
      </c>
      <c r="P334" s="112">
        <f t="shared" si="40"/>
        <v>0</v>
      </c>
      <c r="Q334" s="112">
        <f t="shared" si="40"/>
        <v>0</v>
      </c>
      <c r="R334" s="112">
        <f t="shared" si="40"/>
        <v>0</v>
      </c>
      <c r="S334" s="112">
        <f t="shared" si="40"/>
        <v>0</v>
      </c>
      <c r="T334" s="112">
        <f t="shared" si="40"/>
        <v>0</v>
      </c>
      <c r="U334" s="112">
        <f t="shared" si="40"/>
        <v>0</v>
      </c>
      <c r="V334" s="112">
        <f t="shared" si="40"/>
        <v>0</v>
      </c>
      <c r="W334" s="112">
        <f t="shared" si="40"/>
        <v>0</v>
      </c>
    </row>
    <row r="335" spans="1:23" s="586" customFormat="1" ht="11.25" customHeight="1" thickTop="1" x14ac:dyDescent="0.25">
      <c r="A335" s="1090" t="str">
        <f>head27a</f>
        <v>References</v>
      </c>
      <c r="B335" s="897"/>
      <c r="C335" s="898"/>
      <c r="D335" s="899"/>
      <c r="E335" s="899"/>
      <c r="F335" s="899"/>
      <c r="G335" s="899"/>
      <c r="H335" s="899"/>
      <c r="I335" s="899"/>
      <c r="J335" s="899"/>
      <c r="K335" s="899"/>
    </row>
    <row r="336" spans="1:23" s="586" customFormat="1" ht="11.25" customHeight="1" x14ac:dyDescent="0.25">
      <c r="A336" s="1055" t="s">
        <v>610</v>
      </c>
      <c r="B336" s="897"/>
      <c r="C336" s="900"/>
      <c r="D336" s="900"/>
      <c r="E336" s="901"/>
      <c r="F336" s="901"/>
      <c r="G336" s="901"/>
      <c r="H336" s="901"/>
      <c r="I336" s="901"/>
      <c r="J336" s="901"/>
      <c r="K336" s="901"/>
    </row>
    <row r="337" spans="1:11" s="586" customFormat="1" ht="11.25" customHeight="1" x14ac:dyDescent="0.25">
      <c r="A337" s="1096" t="s">
        <v>416</v>
      </c>
      <c r="B337" s="897"/>
      <c r="C337" s="900"/>
      <c r="D337" s="900"/>
      <c r="E337" s="901"/>
      <c r="F337" s="901"/>
      <c r="G337" s="901"/>
      <c r="H337" s="901"/>
      <c r="I337" s="901"/>
      <c r="J337" s="901"/>
      <c r="K337" s="901"/>
    </row>
    <row r="338" spans="1:11" s="586" customFormat="1" ht="11.25" customHeight="1" x14ac:dyDescent="0.25">
      <c r="A338" s="1096" t="s">
        <v>414</v>
      </c>
      <c r="B338" s="902"/>
      <c r="C338" s="903"/>
      <c r="D338" s="903"/>
      <c r="E338" s="904"/>
      <c r="F338" s="904"/>
      <c r="G338" s="904"/>
      <c r="H338" s="904"/>
      <c r="I338" s="904"/>
      <c r="J338" s="904"/>
      <c r="K338" s="904"/>
    </row>
    <row r="339" spans="1:11" ht="11.25" customHeight="1" x14ac:dyDescent="0.25">
      <c r="A339" s="124"/>
      <c r="I339" s="1098"/>
      <c r="J339" s="1098"/>
      <c r="K339" s="1098"/>
    </row>
    <row r="340" spans="1:11" ht="11.25" customHeight="1" x14ac:dyDescent="0.25">
      <c r="A340" s="1097" t="s">
        <v>11</v>
      </c>
      <c r="B340" s="581"/>
      <c r="C340" s="2616" t="s">
        <v>2430</v>
      </c>
      <c r="D340" s="1098">
        <f>D164-'[4]A4-FinPerf RE'!D60</f>
        <v>0</v>
      </c>
      <c r="E340" s="2616" t="s">
        <v>2430</v>
      </c>
      <c r="F340" s="1098">
        <f>F164-'[4]A4-FinPerf RE'!F60</f>
        <v>-2.0000338554382324E-4</v>
      </c>
      <c r="G340" s="1098">
        <f>G164-'[4]A4-FinPerf RE'!G60</f>
        <v>0</v>
      </c>
      <c r="H340" s="1098">
        <f>H164-'[4]A4-FinPerf RE'!H60</f>
        <v>0</v>
      </c>
      <c r="I340" s="2616" t="s">
        <v>2430</v>
      </c>
      <c r="J340" s="2616" t="s">
        <v>2430</v>
      </c>
      <c r="K340" s="2616" t="s">
        <v>2430</v>
      </c>
    </row>
    <row r="341" spans="1:11" ht="11.25" customHeight="1" x14ac:dyDescent="0.25">
      <c r="A341" s="1097" t="s">
        <v>12</v>
      </c>
      <c r="B341" s="581"/>
      <c r="C341" s="1098">
        <f>C332-'[4]A4-FinPerf RE'!C36</f>
        <v>7.3799490928649902E-4</v>
      </c>
      <c r="D341" s="1098">
        <f>D332-'[4]A4-FinPerf RE'!D36</f>
        <v>0.41113099455833435</v>
      </c>
      <c r="E341" s="2616" t="s">
        <v>2430</v>
      </c>
      <c r="F341" s="1098">
        <f>F332-'[4]A4-FinPerf RE'!F36</f>
        <v>-0.20000004768371582</v>
      </c>
      <c r="G341" s="1098">
        <f>G332-'[4]A4-FinPerf RE'!G36</f>
        <v>0</v>
      </c>
      <c r="H341" s="1098">
        <f>H332-'[4]A4-FinPerf RE'!H36</f>
        <v>0</v>
      </c>
      <c r="I341" s="2616" t="s">
        <v>2430</v>
      </c>
      <c r="J341" s="2616" t="s">
        <v>2430</v>
      </c>
      <c r="K341" s="2616" t="s">
        <v>2430</v>
      </c>
    </row>
    <row r="342" spans="1:11" ht="11.25" customHeight="1" x14ac:dyDescent="0.25">
      <c r="A342" s="124"/>
      <c r="I342" s="1098"/>
      <c r="J342" s="1098"/>
      <c r="K342" s="1098"/>
    </row>
    <row r="343" spans="1:11" ht="11.25" customHeight="1" x14ac:dyDescent="0.25">
      <c r="A343" s="124"/>
    </row>
    <row r="344" spans="1:11" ht="11.25" customHeight="1" x14ac:dyDescent="0.25">
      <c r="A344" s="124"/>
    </row>
    <row r="345" spans="1:11" ht="11.25" customHeight="1" x14ac:dyDescent="0.25"/>
    <row r="346" spans="1:11" ht="11.25" customHeight="1" x14ac:dyDescent="0.25"/>
    <row r="347" spans="1:11" ht="11.25" customHeight="1" x14ac:dyDescent="0.25"/>
    <row r="348" spans="1:11" ht="11.25" customHeight="1" x14ac:dyDescent="0.25"/>
    <row r="349" spans="1:11" ht="11.25" customHeight="1" x14ac:dyDescent="0.25"/>
    <row r="350" spans="1:11" ht="11.25" customHeight="1" x14ac:dyDescent="0.25"/>
    <row r="351" spans="1:11" ht="11.25" customHeight="1" x14ac:dyDescent="0.25"/>
    <row r="352" spans="1:11"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78">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64"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4" activePane="bottomRight" state="frozen"/>
      <selection pane="topRight"/>
      <selection pane="bottomLeft"/>
      <selection pane="bottomRight" activeCell="A4" sqref="A4:XFD2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LIM471 Ephraim Mogale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c r="M2" s="2669" t="str">
        <f>Head4</f>
        <v>LTFS</v>
      </c>
      <c r="N2" s="2669"/>
      <c r="O2" s="2669"/>
      <c r="P2" s="2669"/>
      <c r="Q2" s="2669"/>
      <c r="R2" s="2669"/>
      <c r="S2" s="2669"/>
      <c r="T2" s="2669"/>
      <c r="U2" s="2669"/>
      <c r="V2" s="2669"/>
      <c r="W2" s="2669"/>
      <c r="X2" s="2670"/>
    </row>
    <row r="3" spans="1:25"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400" t="str">
        <f>Head12</f>
        <v>Forecast 2019/20</v>
      </c>
      <c r="N3" s="1401" t="str">
        <f>Head13</f>
        <v>Forecast 2020/21</v>
      </c>
      <c r="O3" s="1401" t="str">
        <f>Head14</f>
        <v>Forecast 2021/22</v>
      </c>
      <c r="P3" s="1401" t="str">
        <f>Head15</f>
        <v>Forecast 2022/23</v>
      </c>
      <c r="Q3" s="1401" t="str">
        <f>Head16</f>
        <v>Forecast 2023/24</v>
      </c>
      <c r="R3" s="1401" t="str">
        <f>Head17</f>
        <v>Forecast 2024/25</v>
      </c>
      <c r="S3" s="1401" t="str">
        <f>Head18</f>
        <v>Forecast 2025/26</v>
      </c>
      <c r="T3" s="1401" t="str">
        <f>Head19</f>
        <v>Forecast 2026/27</v>
      </c>
      <c r="U3" s="1401" t="str">
        <f>Head20</f>
        <v>Forecast 2027/28</v>
      </c>
      <c r="V3" s="1401" t="str">
        <f>Head21</f>
        <v>Forecast 2028/29</v>
      </c>
      <c r="W3" s="1401" t="str">
        <f>Head22</f>
        <v>Forecast 2029/30</v>
      </c>
      <c r="X3" s="1401" t="str">
        <f>Head23</f>
        <v>Forecast 2030/31</v>
      </c>
    </row>
    <row r="4" spans="1:25" ht="12.75" customHeight="1" x14ac:dyDescent="0.25">
      <c r="A4" s="127" t="s">
        <v>627</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12251690.26</v>
      </c>
      <c r="D5" s="923">
        <f>'SA1'!D9</f>
        <v>29830570</v>
      </c>
      <c r="E5" s="1278">
        <f>'SA1'!E9</f>
        <v>25771581</v>
      </c>
      <c r="F5" s="927">
        <f>'SA1'!F9</f>
        <v>26430545.8002</v>
      </c>
      <c r="G5" s="923">
        <f>'SA1'!G9</f>
        <v>26766355.149999999</v>
      </c>
      <c r="H5" s="1009">
        <f>'SA1'!H9</f>
        <v>26766355.149999999</v>
      </c>
      <c r="I5" s="926">
        <f>'SA1'!I9</f>
        <v>26766355.149999999</v>
      </c>
      <c r="J5" s="927">
        <f>'SA1'!J9</f>
        <v>28372336.459000003</v>
      </c>
      <c r="K5" s="923">
        <f>'SA1'!K9</f>
        <v>30074676.646540001</v>
      </c>
      <c r="L5" s="1009">
        <f>'SA1'!L9</f>
        <v>31879157.245332401</v>
      </c>
      <c r="M5" s="73"/>
      <c r="N5" s="74"/>
      <c r="O5" s="74"/>
      <c r="P5" s="74"/>
      <c r="Q5" s="74"/>
      <c r="R5" s="74"/>
      <c r="S5" s="74"/>
      <c r="T5" s="74"/>
      <c r="U5" s="74"/>
      <c r="V5" s="74"/>
      <c r="W5" s="74"/>
      <c r="X5" s="74"/>
      <c r="Y5" s="247"/>
    </row>
    <row r="6" spans="1:25" ht="12.75" customHeight="1" x14ac:dyDescent="0.25">
      <c r="A6" s="128" t="s">
        <v>1534</v>
      </c>
      <c r="B6" s="172"/>
      <c r="C6" s="2088"/>
      <c r="D6" s="2088"/>
      <c r="E6" s="2089"/>
      <c r="F6" s="2090"/>
      <c r="G6" s="2088"/>
      <c r="H6" s="2091"/>
      <c r="I6" s="2108"/>
      <c r="J6" s="2090"/>
      <c r="K6" s="2088"/>
      <c r="L6" s="2091"/>
      <c r="M6" s="73"/>
      <c r="N6" s="74"/>
      <c r="O6" s="74"/>
      <c r="P6" s="74"/>
      <c r="Q6" s="74"/>
      <c r="R6" s="74"/>
      <c r="S6" s="74"/>
      <c r="T6" s="74"/>
      <c r="U6" s="74"/>
      <c r="V6" s="74"/>
      <c r="W6" s="74"/>
      <c r="X6" s="74"/>
      <c r="Y6" s="247"/>
    </row>
    <row r="7" spans="1:25" ht="12.75" customHeight="1" x14ac:dyDescent="0.25">
      <c r="A7" s="132" t="s">
        <v>1706</v>
      </c>
      <c r="B7" s="172">
        <v>2</v>
      </c>
      <c r="C7" s="923">
        <f>'SA1'!C15</f>
        <v>35666165.030000001</v>
      </c>
      <c r="D7" s="923">
        <f>'SA1'!D15</f>
        <v>34080395</v>
      </c>
      <c r="E7" s="1278">
        <f>'SA1'!E15</f>
        <v>37384302</v>
      </c>
      <c r="F7" s="927">
        <f>'SA1'!F15</f>
        <v>50356628.200000003</v>
      </c>
      <c r="G7" s="923">
        <f>'SA1'!G15</f>
        <v>50356628.200000003</v>
      </c>
      <c r="H7" s="1009">
        <f>'SA1'!H15</f>
        <v>50356628.200000003</v>
      </c>
      <c r="I7" s="926">
        <f>'SA1'!I15</f>
        <v>50356628.200000003</v>
      </c>
      <c r="J7" s="927">
        <f>'SA1'!J15</f>
        <v>54314659.176520005</v>
      </c>
      <c r="K7" s="923">
        <f>'SA1'!K15</f>
        <v>57573538.727111198</v>
      </c>
      <c r="L7" s="1009">
        <f>'SA1'!L15</f>
        <v>61027951.050737873</v>
      </c>
      <c r="M7" s="73"/>
      <c r="N7" s="74"/>
      <c r="O7" s="74"/>
      <c r="P7" s="74"/>
      <c r="Q7" s="74"/>
      <c r="R7" s="74"/>
      <c r="S7" s="74"/>
      <c r="T7" s="74"/>
      <c r="U7" s="74"/>
      <c r="V7" s="74"/>
      <c r="W7" s="74"/>
      <c r="X7" s="74"/>
      <c r="Y7" s="247"/>
    </row>
    <row r="8" spans="1:25" ht="12.75" customHeight="1" x14ac:dyDescent="0.25">
      <c r="A8" s="132" t="s">
        <v>1707</v>
      </c>
      <c r="B8" s="172">
        <v>2</v>
      </c>
      <c r="C8" s="923">
        <f>'SA1'!C21</f>
        <v>0</v>
      </c>
      <c r="D8" s="923">
        <f>'SA1'!D21</f>
        <v>0</v>
      </c>
      <c r="E8" s="1278">
        <f>'SA1'!E21</f>
        <v>0</v>
      </c>
      <c r="F8" s="927">
        <f>'SA1'!F21</f>
        <v>0</v>
      </c>
      <c r="G8" s="923">
        <f>'SA1'!G21</f>
        <v>0</v>
      </c>
      <c r="H8" s="1009">
        <f>'SA1'!H21</f>
        <v>0</v>
      </c>
      <c r="I8" s="926">
        <f>'SA1'!I21</f>
        <v>0</v>
      </c>
      <c r="J8" s="927">
        <f>'SA1'!J21</f>
        <v>0</v>
      </c>
      <c r="K8" s="923">
        <f>'SA1'!K21</f>
        <v>0</v>
      </c>
      <c r="L8" s="1009">
        <f>'SA1'!L21</f>
        <v>0</v>
      </c>
      <c r="M8" s="73"/>
      <c r="N8" s="74"/>
      <c r="O8" s="74"/>
      <c r="P8" s="74"/>
      <c r="Q8" s="74"/>
      <c r="R8" s="74"/>
      <c r="S8" s="74"/>
      <c r="T8" s="74"/>
      <c r="U8" s="74"/>
      <c r="V8" s="74"/>
      <c r="W8" s="74"/>
      <c r="X8" s="74"/>
      <c r="Y8" s="247"/>
    </row>
    <row r="9" spans="1:25" ht="12.75" customHeight="1" x14ac:dyDescent="0.25">
      <c r="A9" s="132" t="s">
        <v>886</v>
      </c>
      <c r="B9" s="172">
        <v>2</v>
      </c>
      <c r="C9" s="923">
        <f>'SA1'!C27</f>
        <v>0</v>
      </c>
      <c r="D9" s="923">
        <f>'SA1'!D27</f>
        <v>0</v>
      </c>
      <c r="E9" s="1278">
        <f>'SA1'!E27</f>
        <v>0</v>
      </c>
      <c r="F9" s="927">
        <f>'SA1'!F27</f>
        <v>0</v>
      </c>
      <c r="G9" s="923">
        <f>'SA1'!G27</f>
        <v>0</v>
      </c>
      <c r="H9" s="1009">
        <f>'SA1'!H27</f>
        <v>0</v>
      </c>
      <c r="I9" s="926">
        <f>'SA1'!I27</f>
        <v>0</v>
      </c>
      <c r="J9" s="927">
        <f>'SA1'!J27</f>
        <v>0</v>
      </c>
      <c r="K9" s="923">
        <f>'SA1'!K27</f>
        <v>0</v>
      </c>
      <c r="L9" s="1009">
        <f>'SA1'!L27</f>
        <v>0</v>
      </c>
      <c r="M9" s="73"/>
      <c r="N9" s="74"/>
      <c r="O9" s="74"/>
      <c r="P9" s="74"/>
      <c r="Q9" s="74"/>
      <c r="R9" s="74"/>
      <c r="S9" s="74"/>
      <c r="T9" s="74"/>
      <c r="U9" s="74"/>
      <c r="V9" s="74"/>
      <c r="W9" s="74"/>
      <c r="X9" s="74"/>
      <c r="Y9" s="247"/>
    </row>
    <row r="10" spans="1:25" ht="12.75" customHeight="1" x14ac:dyDescent="0.25">
      <c r="A10" s="132" t="s">
        <v>994</v>
      </c>
      <c r="B10" s="172">
        <v>2</v>
      </c>
      <c r="C10" s="85">
        <f>'SA1'!C34</f>
        <v>2940519.6799999997</v>
      </c>
      <c r="D10" s="85">
        <f>'SA1'!D34</f>
        <v>2913846</v>
      </c>
      <c r="E10" s="82">
        <f>'SA1'!E34</f>
        <v>3380627</v>
      </c>
      <c r="F10" s="83">
        <f>'SA1'!F34</f>
        <v>3867328.92</v>
      </c>
      <c r="G10" s="81">
        <f>'SA1'!G34</f>
        <v>3867328.92</v>
      </c>
      <c r="H10" s="681">
        <f>'SA1'!H34</f>
        <v>3867328.92</v>
      </c>
      <c r="I10" s="80">
        <f>'SA1'!I34</f>
        <v>3867328.92</v>
      </c>
      <c r="J10" s="84">
        <f>'SA1'!J34</f>
        <v>4407522.4954000013</v>
      </c>
      <c r="K10" s="81">
        <f>'SA1'!K34</f>
        <v>4671973.8451239998</v>
      </c>
      <c r="L10" s="82">
        <f>'SA1'!L34</f>
        <v>4952292.2758314405</v>
      </c>
      <c r="M10" s="73"/>
      <c r="N10" s="74"/>
      <c r="O10" s="74"/>
      <c r="P10" s="74"/>
      <c r="Q10" s="74"/>
      <c r="R10" s="74"/>
      <c r="S10" s="74"/>
      <c r="T10" s="74"/>
      <c r="U10" s="74"/>
      <c r="V10" s="74"/>
      <c r="W10" s="74"/>
      <c r="X10" s="74"/>
      <c r="Y10" s="247"/>
    </row>
    <row r="11" spans="1:25" ht="12.75" customHeight="1" x14ac:dyDescent="0.25">
      <c r="A11" s="132" t="s">
        <v>888</v>
      </c>
      <c r="B11" s="171"/>
      <c r="C11" s="2088"/>
      <c r="D11" s="2088"/>
      <c r="E11" s="2106"/>
      <c r="F11" s="2107"/>
      <c r="G11" s="2088"/>
      <c r="H11" s="2106"/>
      <c r="I11" s="2108"/>
      <c r="J11" s="2090"/>
      <c r="K11" s="2088"/>
      <c r="L11" s="2106"/>
      <c r="M11" s="73"/>
      <c r="N11" s="74"/>
      <c r="O11" s="74"/>
      <c r="P11" s="74"/>
      <c r="Q11" s="74"/>
      <c r="R11" s="74"/>
      <c r="S11" s="74"/>
      <c r="T11" s="74"/>
      <c r="U11" s="74"/>
      <c r="V11" s="74"/>
      <c r="W11" s="74"/>
      <c r="X11" s="74"/>
      <c r="Y11" s="247"/>
    </row>
    <row r="12" spans="1:25" ht="12.75" customHeight="1" x14ac:dyDescent="0.25">
      <c r="A12" s="132" t="s">
        <v>1536</v>
      </c>
      <c r="B12" s="171"/>
      <c r="C12" s="2088">
        <v>107456</v>
      </c>
      <c r="D12" s="2088">
        <v>158352</v>
      </c>
      <c r="E12" s="2091">
        <v>123685</v>
      </c>
      <c r="F12" s="2092">
        <v>197429.9</v>
      </c>
      <c r="G12" s="2092">
        <v>197429.9</v>
      </c>
      <c r="H12" s="2092">
        <v>197429.9</v>
      </c>
      <c r="I12" s="2092">
        <v>197429.9</v>
      </c>
      <c r="J12" s="2088">
        <v>209275.69400000002</v>
      </c>
      <c r="K12" s="2088">
        <v>221832.23564</v>
      </c>
      <c r="L12" s="2088">
        <v>235142.16977840001</v>
      </c>
      <c r="M12" s="73"/>
      <c r="N12" s="74"/>
      <c r="O12" s="74"/>
      <c r="P12" s="74"/>
      <c r="Q12" s="74"/>
      <c r="R12" s="74"/>
      <c r="S12" s="74"/>
      <c r="T12" s="74"/>
      <c r="U12" s="74"/>
      <c r="V12" s="74"/>
      <c r="W12" s="74"/>
      <c r="X12" s="74"/>
    </row>
    <row r="13" spans="1:25" ht="12.75" customHeight="1" x14ac:dyDescent="0.25">
      <c r="A13" s="128" t="s">
        <v>447</v>
      </c>
      <c r="B13" s="171"/>
      <c r="C13" s="2088">
        <v>5432876</v>
      </c>
      <c r="D13" s="2088">
        <v>1903903</v>
      </c>
      <c r="E13" s="2106">
        <v>2451977</v>
      </c>
      <c r="F13" s="2107">
        <v>1170377.8</v>
      </c>
      <c r="G13" s="2107">
        <v>1170377.8</v>
      </c>
      <c r="H13" s="2107">
        <v>1170377.8</v>
      </c>
      <c r="I13" s="2107">
        <v>1170377.8</v>
      </c>
      <c r="J13" s="2092">
        <v>1240600.4680000001</v>
      </c>
      <c r="K13" s="2088">
        <v>1315036.49608</v>
      </c>
      <c r="L13" s="2106">
        <v>1393938.6858448</v>
      </c>
      <c r="M13" s="73"/>
      <c r="N13" s="74"/>
      <c r="O13" s="74"/>
      <c r="P13" s="74"/>
      <c r="Q13" s="74"/>
      <c r="R13" s="74"/>
      <c r="S13" s="74"/>
      <c r="T13" s="74"/>
      <c r="U13" s="74"/>
      <c r="V13" s="74"/>
      <c r="W13" s="74"/>
      <c r="X13" s="74"/>
    </row>
    <row r="14" spans="1:25" ht="12.75" customHeight="1" x14ac:dyDescent="0.25">
      <c r="A14" s="128" t="s">
        <v>448</v>
      </c>
      <c r="B14" s="171"/>
      <c r="C14" s="2088">
        <v>4352140</v>
      </c>
      <c r="D14" s="2088">
        <v>3411822</v>
      </c>
      <c r="E14" s="2106">
        <v>2514879</v>
      </c>
      <c r="F14" s="2108">
        <v>2241476</v>
      </c>
      <c r="G14" s="2108">
        <v>2241476</v>
      </c>
      <c r="H14" s="2108">
        <v>2241476</v>
      </c>
      <c r="I14" s="2108">
        <v>2241476</v>
      </c>
      <c r="J14" s="2092">
        <v>2375964.56</v>
      </c>
      <c r="K14" s="2088">
        <v>2518522.4336000001</v>
      </c>
      <c r="L14" s="2106">
        <v>2669633.7796160001</v>
      </c>
      <c r="M14" s="73"/>
      <c r="N14" s="74"/>
      <c r="O14" s="74"/>
      <c r="P14" s="74"/>
      <c r="Q14" s="74"/>
      <c r="R14" s="74"/>
      <c r="S14" s="74"/>
      <c r="T14" s="74"/>
      <c r="U14" s="74"/>
      <c r="V14" s="74"/>
      <c r="W14" s="74"/>
      <c r="X14" s="74"/>
    </row>
    <row r="15" spans="1:25" ht="12.75" customHeight="1" x14ac:dyDescent="0.25">
      <c r="A15" s="128" t="s">
        <v>1461</v>
      </c>
      <c r="B15" s="171"/>
      <c r="C15" s="2110"/>
      <c r="D15" s="2110"/>
      <c r="E15" s="2111"/>
      <c r="F15" s="2112"/>
      <c r="G15" s="2110"/>
      <c r="H15" s="2111"/>
      <c r="I15" s="2113"/>
      <c r="J15" s="2112"/>
      <c r="K15" s="2110"/>
      <c r="L15" s="2111"/>
      <c r="M15" s="73"/>
      <c r="N15" s="74"/>
      <c r="O15" s="74"/>
      <c r="P15" s="74"/>
      <c r="Q15" s="74"/>
      <c r="R15" s="74"/>
      <c r="S15" s="74"/>
      <c r="T15" s="74"/>
      <c r="U15" s="74"/>
      <c r="V15" s="74"/>
      <c r="W15" s="74"/>
      <c r="X15" s="74"/>
    </row>
    <row r="16" spans="1:25" ht="12.75" customHeight="1" x14ac:dyDescent="0.25">
      <c r="A16" s="128" t="s">
        <v>449</v>
      </c>
      <c r="B16" s="171"/>
      <c r="C16" s="2110">
        <v>1162321</v>
      </c>
      <c r="D16" s="2110">
        <v>1239376</v>
      </c>
      <c r="E16" s="2111">
        <v>1868179</v>
      </c>
      <c r="F16" s="2112">
        <v>683279.37</v>
      </c>
      <c r="G16" s="2112">
        <v>683279.37</v>
      </c>
      <c r="H16" s="2112">
        <v>683279.37</v>
      </c>
      <c r="I16" s="2112">
        <v>683279.37</v>
      </c>
      <c r="J16" s="2112">
        <v>731219.56800000009</v>
      </c>
      <c r="K16" s="2110">
        <v>775092.74208</v>
      </c>
      <c r="L16" s="2111">
        <v>821598.30660480005</v>
      </c>
      <c r="M16" s="73"/>
      <c r="N16" s="74"/>
      <c r="O16" s="74"/>
      <c r="P16" s="74"/>
      <c r="Q16" s="74"/>
      <c r="R16" s="74"/>
      <c r="S16" s="74"/>
      <c r="T16" s="74"/>
      <c r="U16" s="74"/>
      <c r="V16" s="74"/>
      <c r="W16" s="74"/>
      <c r="X16" s="74"/>
    </row>
    <row r="17" spans="1:24" ht="12.75" customHeight="1" x14ac:dyDescent="0.25">
      <c r="A17" s="128" t="s">
        <v>450</v>
      </c>
      <c r="B17" s="171"/>
      <c r="C17" s="2110">
        <v>3803419</v>
      </c>
      <c r="D17" s="2110">
        <v>4420034</v>
      </c>
      <c r="E17" s="2111">
        <v>3913628</v>
      </c>
      <c r="F17" s="2112">
        <v>12271573.539999999</v>
      </c>
      <c r="G17" s="2110">
        <v>10824745.539999999</v>
      </c>
      <c r="H17" s="2110">
        <v>10824745.539999999</v>
      </c>
      <c r="I17" s="2110">
        <v>10824745.539999999</v>
      </c>
      <c r="J17" s="2112">
        <v>3395770.9923999999</v>
      </c>
      <c r="K17" s="2110">
        <v>3599517.2519439999</v>
      </c>
      <c r="L17" s="2111">
        <v>3815488.2870606403</v>
      </c>
      <c r="M17" s="73"/>
      <c r="N17" s="74"/>
      <c r="O17" s="74"/>
      <c r="P17" s="74"/>
      <c r="Q17" s="74"/>
      <c r="R17" s="74"/>
      <c r="S17" s="74"/>
      <c r="T17" s="74"/>
      <c r="U17" s="74"/>
      <c r="V17" s="74"/>
      <c r="W17" s="74"/>
      <c r="X17" s="74"/>
    </row>
    <row r="18" spans="1:24" ht="12.75" customHeight="1" x14ac:dyDescent="0.25">
      <c r="A18" s="132" t="s">
        <v>1441</v>
      </c>
      <c r="B18" s="172"/>
      <c r="C18" s="2110">
        <v>6884172</v>
      </c>
      <c r="D18" s="2110"/>
      <c r="E18" s="2111"/>
      <c r="F18" s="2112"/>
      <c r="G18" s="2110"/>
      <c r="H18" s="2111"/>
      <c r="I18" s="2113"/>
      <c r="J18" s="2112">
        <v>8078459.2800000003</v>
      </c>
      <c r="K18" s="2110">
        <v>8563166.8367999997</v>
      </c>
      <c r="L18" s="2111">
        <v>9076956.8470079992</v>
      </c>
      <c r="M18" s="73"/>
      <c r="N18" s="74"/>
      <c r="O18" s="74"/>
      <c r="P18" s="74"/>
      <c r="Q18" s="74"/>
      <c r="R18" s="74"/>
      <c r="S18" s="74"/>
      <c r="T18" s="74"/>
      <c r="U18" s="74"/>
      <c r="V18" s="74"/>
      <c r="W18" s="74"/>
      <c r="X18" s="74"/>
    </row>
    <row r="19" spans="1:24" ht="12.75" customHeight="1" x14ac:dyDescent="0.25">
      <c r="A19" s="128" t="s">
        <v>35</v>
      </c>
      <c r="B19" s="171"/>
      <c r="C19" s="2110">
        <v>76140048</v>
      </c>
      <c r="D19" s="2110">
        <v>81383968</v>
      </c>
      <c r="E19" s="2111">
        <v>94712291</v>
      </c>
      <c r="F19" s="2112">
        <v>122308000</v>
      </c>
      <c r="G19" s="2112">
        <v>122308000</v>
      </c>
      <c r="H19" s="2112">
        <v>122308000</v>
      </c>
      <c r="I19" s="2112">
        <v>122308000</v>
      </c>
      <c r="J19" s="2112">
        <v>121374000</v>
      </c>
      <c r="K19" s="2110">
        <v>129936000</v>
      </c>
      <c r="L19" s="2111">
        <v>137610000</v>
      </c>
      <c r="M19" s="86"/>
      <c r="N19" s="74"/>
      <c r="O19" s="74"/>
      <c r="P19" s="74"/>
      <c r="Q19" s="74"/>
      <c r="R19" s="74"/>
      <c r="S19" s="74"/>
      <c r="T19" s="74"/>
      <c r="U19" s="74"/>
      <c r="V19" s="74"/>
      <c r="W19" s="74"/>
      <c r="X19" s="74"/>
    </row>
    <row r="20" spans="1:24" ht="12.75" customHeight="1" x14ac:dyDescent="0.25">
      <c r="A20" s="128" t="s">
        <v>1489</v>
      </c>
      <c r="B20" s="171">
        <v>2</v>
      </c>
      <c r="C20" s="85">
        <f>'SA1'!C49</f>
        <v>2742132</v>
      </c>
      <c r="D20" s="85">
        <f>'SA1'!D49</f>
        <v>3297654</v>
      </c>
      <c r="E20" s="82">
        <f>'SA1'!E49</f>
        <v>15025249</v>
      </c>
      <c r="F20" s="83">
        <f>'SA1'!F49</f>
        <v>5242711.16</v>
      </c>
      <c r="G20" s="81">
        <f>'SA1'!G49</f>
        <v>5309358.72</v>
      </c>
      <c r="H20" s="82">
        <f>'SA1'!H49</f>
        <v>5309358.72</v>
      </c>
      <c r="I20" s="82">
        <f>'SA1'!I49</f>
        <v>5309358.72</v>
      </c>
      <c r="J20" s="1946">
        <f>'SA1'!J49</f>
        <v>5352056.67</v>
      </c>
      <c r="K20" s="81">
        <f>'SA1'!K49</f>
        <v>5673180.1600000001</v>
      </c>
      <c r="L20" s="82">
        <f>'SA1'!L49</f>
        <v>6013571.4100000001</v>
      </c>
      <c r="M20" s="86"/>
      <c r="N20" s="74"/>
      <c r="O20" s="74"/>
      <c r="P20" s="74"/>
      <c r="Q20" s="74"/>
      <c r="R20" s="74"/>
      <c r="S20" s="74"/>
      <c r="T20" s="74"/>
      <c r="U20" s="74"/>
      <c r="V20" s="74"/>
      <c r="W20" s="74"/>
      <c r="X20" s="74"/>
    </row>
    <row r="21" spans="1:24" ht="12.75" customHeight="1" x14ac:dyDescent="0.25">
      <c r="A21" s="128" t="s">
        <v>451</v>
      </c>
      <c r="B21" s="171"/>
      <c r="C21" s="2110"/>
      <c r="D21" s="2088"/>
      <c r="E21" s="2106"/>
      <c r="F21" s="2107"/>
      <c r="G21" s="2088"/>
      <c r="H21" s="2106"/>
      <c r="I21" s="2108"/>
      <c r="J21" s="2090"/>
      <c r="K21" s="2088"/>
      <c r="L21" s="2106"/>
      <c r="M21" s="86"/>
      <c r="N21" s="74"/>
      <c r="O21" s="74"/>
      <c r="P21" s="74"/>
      <c r="Q21" s="74"/>
      <c r="R21" s="74"/>
      <c r="S21" s="74"/>
      <c r="T21" s="74"/>
      <c r="U21" s="74"/>
      <c r="V21" s="74"/>
      <c r="W21" s="74"/>
      <c r="X21" s="74"/>
    </row>
    <row r="22" spans="1:24" ht="24" customHeight="1" x14ac:dyDescent="0.25">
      <c r="A22" s="1231" t="s">
        <v>995</v>
      </c>
      <c r="B22" s="1232"/>
      <c r="C22" s="1233">
        <f t="shared" ref="C22:X22" si="0">SUM(C5:C21)</f>
        <v>151482938.97</v>
      </c>
      <c r="D22" s="1233">
        <f t="shared" si="0"/>
        <v>162639920</v>
      </c>
      <c r="E22" s="1234">
        <f t="shared" si="0"/>
        <v>187146398</v>
      </c>
      <c r="F22" s="1235">
        <f t="shared" si="0"/>
        <v>224769350.6902</v>
      </c>
      <c r="G22" s="1233">
        <f t="shared" si="0"/>
        <v>223724979.59999999</v>
      </c>
      <c r="H22" s="1234">
        <f t="shared" si="0"/>
        <v>223724979.59999999</v>
      </c>
      <c r="I22" s="1235">
        <f t="shared" si="0"/>
        <v>223724979.59999999</v>
      </c>
      <c r="J22" s="1236">
        <f t="shared" si="0"/>
        <v>229851865.36332002</v>
      </c>
      <c r="K22" s="1233">
        <f t="shared" si="0"/>
        <v>244922537.37491921</v>
      </c>
      <c r="L22" s="1234">
        <f t="shared" si="0"/>
        <v>259495730.05781436</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1572</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41720983.379999995</v>
      </c>
      <c r="D25" s="85">
        <f>'SA1'!D67</f>
        <v>49251332</v>
      </c>
      <c r="E25" s="82">
        <f>'SA1'!E67</f>
        <v>53150282</v>
      </c>
      <c r="F25" s="83">
        <f>'SA1'!F67</f>
        <v>65742054.199999996</v>
      </c>
      <c r="G25" s="81">
        <f>'SA1'!G67</f>
        <v>62236745.249999985</v>
      </c>
      <c r="H25" s="82">
        <f>'SA1'!H67</f>
        <v>62236745.249999985</v>
      </c>
      <c r="I25" s="80">
        <f>'SA1'!I67</f>
        <v>62236745.249999985</v>
      </c>
      <c r="J25" s="84">
        <f>'SA1'!J67</f>
        <v>70709750.819999993</v>
      </c>
      <c r="K25" s="81">
        <f>'SA1'!K67</f>
        <v>74952335.86999999</v>
      </c>
      <c r="L25" s="82">
        <f>'SA1'!L67</f>
        <v>79449476.019999996</v>
      </c>
      <c r="M25" s="73"/>
      <c r="N25" s="74"/>
      <c r="O25" s="74"/>
      <c r="P25" s="74"/>
      <c r="Q25" s="74"/>
      <c r="R25" s="74"/>
      <c r="S25" s="74"/>
      <c r="T25" s="74"/>
      <c r="U25" s="74"/>
      <c r="V25" s="74"/>
      <c r="W25" s="74"/>
      <c r="X25" s="74"/>
    </row>
    <row r="26" spans="1:24" ht="11.25" customHeight="1" x14ac:dyDescent="0.25">
      <c r="A26" s="132" t="s">
        <v>505</v>
      </c>
      <c r="B26" s="172"/>
      <c r="C26" s="2088">
        <v>9739948</v>
      </c>
      <c r="D26" s="2088">
        <v>9879963</v>
      </c>
      <c r="E26" s="2106">
        <v>10343455</v>
      </c>
      <c r="F26" s="2107">
        <v>11002969.83</v>
      </c>
      <c r="G26" s="2107">
        <v>11002969.83</v>
      </c>
      <c r="H26" s="2107">
        <v>11002969.83</v>
      </c>
      <c r="I26" s="2107">
        <v>11002969.83</v>
      </c>
      <c r="J26" s="2090">
        <v>11663148.02</v>
      </c>
      <c r="K26" s="2088">
        <v>12362936.9</v>
      </c>
      <c r="L26" s="2106">
        <v>13104713.119999999</v>
      </c>
      <c r="M26" s="73"/>
      <c r="N26" s="74"/>
      <c r="O26" s="74"/>
      <c r="P26" s="74"/>
      <c r="Q26" s="74"/>
      <c r="R26" s="74"/>
      <c r="S26" s="74"/>
      <c r="T26" s="74"/>
      <c r="U26" s="74"/>
      <c r="V26" s="74"/>
      <c r="W26" s="74"/>
      <c r="X26" s="74"/>
    </row>
    <row r="27" spans="1:24" ht="11.25" customHeight="1" x14ac:dyDescent="0.25">
      <c r="A27" s="132" t="s">
        <v>1401</v>
      </c>
      <c r="B27" s="172">
        <v>3</v>
      </c>
      <c r="C27" s="2088">
        <v>1803120</v>
      </c>
      <c r="D27" s="2088">
        <v>6066546</v>
      </c>
      <c r="E27" s="2106">
        <v>2944339</v>
      </c>
      <c r="F27" s="2107">
        <v>6900000</v>
      </c>
      <c r="G27" s="2088">
        <v>6900000</v>
      </c>
      <c r="H27" s="2106">
        <v>6900000</v>
      </c>
      <c r="I27" s="2108">
        <v>6900000</v>
      </c>
      <c r="J27" s="2090">
        <v>7314000</v>
      </c>
      <c r="K27" s="2088">
        <v>7752840</v>
      </c>
      <c r="L27" s="2106">
        <v>8218010.4000000004</v>
      </c>
      <c r="M27" s="73"/>
      <c r="N27" s="74"/>
      <c r="O27" s="74"/>
      <c r="P27" s="74"/>
      <c r="Q27" s="74"/>
      <c r="R27" s="74"/>
      <c r="S27" s="74"/>
      <c r="T27" s="74"/>
      <c r="U27" s="74"/>
      <c r="V27" s="74"/>
      <c r="W27" s="74"/>
      <c r="X27" s="74"/>
    </row>
    <row r="28" spans="1:24" ht="11.25" customHeight="1" x14ac:dyDescent="0.25">
      <c r="A28" s="132" t="s">
        <v>1430</v>
      </c>
      <c r="B28" s="172">
        <v>2</v>
      </c>
      <c r="C28" s="81">
        <f>'SA1'!C83</f>
        <v>37802336</v>
      </c>
      <c r="D28" s="85">
        <f>'SA1'!D83</f>
        <v>37960565</v>
      </c>
      <c r="E28" s="82">
        <f>'SA1'!E83</f>
        <v>40721576</v>
      </c>
      <c r="F28" s="83">
        <f>'SA1'!F83</f>
        <v>42400000</v>
      </c>
      <c r="G28" s="81">
        <f>'SA1'!G83</f>
        <v>42400000</v>
      </c>
      <c r="H28" s="82">
        <f>'SA1'!H83</f>
        <v>42400000</v>
      </c>
      <c r="I28" s="80">
        <f>'SA1'!I83</f>
        <v>42400000</v>
      </c>
      <c r="J28" s="84">
        <f>'SA1'!J83</f>
        <v>44944000</v>
      </c>
      <c r="K28" s="81">
        <f>'SA1'!K83</f>
        <v>47640640</v>
      </c>
      <c r="L28" s="82">
        <f>'SA1'!L83</f>
        <v>50499078.399999999</v>
      </c>
      <c r="M28" s="86"/>
      <c r="N28" s="87"/>
      <c r="O28" s="87"/>
      <c r="P28" s="87"/>
      <c r="Q28" s="87"/>
      <c r="R28" s="87"/>
      <c r="S28" s="87"/>
      <c r="T28" s="87"/>
      <c r="U28" s="87"/>
      <c r="V28" s="87"/>
      <c r="W28" s="87"/>
      <c r="X28" s="87"/>
    </row>
    <row r="29" spans="1:24" ht="11.25" customHeight="1" x14ac:dyDescent="0.25">
      <c r="A29" s="132" t="s">
        <v>1488</v>
      </c>
      <c r="B29" s="172"/>
      <c r="C29" s="2088"/>
      <c r="D29" s="2088">
        <v>1432117</v>
      </c>
      <c r="E29" s="2106">
        <v>2042079</v>
      </c>
      <c r="F29" s="2107">
        <v>752812</v>
      </c>
      <c r="G29" s="2088">
        <v>752812</v>
      </c>
      <c r="H29" s="2106">
        <v>752812</v>
      </c>
      <c r="I29" s="2108">
        <v>752812</v>
      </c>
      <c r="J29" s="2090">
        <v>797980.72</v>
      </c>
      <c r="K29" s="2088">
        <v>845859.56319999998</v>
      </c>
      <c r="L29" s="2106">
        <v>896611.13699199993</v>
      </c>
      <c r="M29" s="73"/>
      <c r="N29" s="74"/>
      <c r="O29" s="74"/>
      <c r="P29" s="74"/>
      <c r="Q29" s="74"/>
      <c r="R29" s="74"/>
      <c r="S29" s="74"/>
      <c r="T29" s="74"/>
      <c r="U29" s="74"/>
      <c r="V29" s="74"/>
      <c r="W29" s="74"/>
      <c r="X29" s="74"/>
    </row>
    <row r="30" spans="1:24" ht="11.25" customHeight="1" x14ac:dyDescent="0.25">
      <c r="A30" s="132" t="s">
        <v>454</v>
      </c>
      <c r="B30" s="172">
        <v>2</v>
      </c>
      <c r="C30" s="81">
        <f>'SA1'!C88</f>
        <v>20324236.609999999</v>
      </c>
      <c r="D30" s="85">
        <f>'SA1'!D88</f>
        <v>21544525</v>
      </c>
      <c r="E30" s="82">
        <f>'SA1'!E88</f>
        <v>23580252</v>
      </c>
      <c r="F30" s="83">
        <f>'SA1'!F88</f>
        <v>27220941.140000001</v>
      </c>
      <c r="G30" s="81">
        <f>'SA1'!G88</f>
        <v>27220941.140000001</v>
      </c>
      <c r="H30" s="82">
        <f>'SA1'!H88</f>
        <v>27220941.140000001</v>
      </c>
      <c r="I30" s="80">
        <f>'SA1'!I88</f>
        <v>27220941.140000001</v>
      </c>
      <c r="J30" s="84">
        <f>'SA1'!J88</f>
        <v>29779709.607160002</v>
      </c>
      <c r="K30" s="81">
        <f>'SA1'!K88</f>
        <v>31566492.183589604</v>
      </c>
      <c r="L30" s="82">
        <f>'SA1'!L88</f>
        <v>33460481.714604981</v>
      </c>
      <c r="M30" s="73"/>
      <c r="N30" s="74"/>
      <c r="O30" s="74"/>
      <c r="P30" s="74"/>
      <c r="Q30" s="74"/>
      <c r="R30" s="74"/>
      <c r="S30" s="74"/>
      <c r="T30" s="74"/>
      <c r="U30" s="74"/>
      <c r="V30" s="74"/>
      <c r="W30" s="74"/>
      <c r="X30" s="74"/>
    </row>
    <row r="31" spans="1:24" ht="11.25" customHeight="1" x14ac:dyDescent="0.25">
      <c r="A31" s="132" t="s">
        <v>1460</v>
      </c>
      <c r="B31" s="172">
        <v>8</v>
      </c>
      <c r="C31" s="2110">
        <v>6245234</v>
      </c>
      <c r="D31" s="2110">
        <v>9180043</v>
      </c>
      <c r="E31" s="2113">
        <v>7874188</v>
      </c>
      <c r="F31" s="2114">
        <v>13545812.27</v>
      </c>
      <c r="G31" s="2110">
        <v>12729542.35</v>
      </c>
      <c r="H31" s="2110">
        <v>12729542.35</v>
      </c>
      <c r="I31" s="2110">
        <v>12729542.35</v>
      </c>
      <c r="J31" s="2116">
        <v>13093442.8182</v>
      </c>
      <c r="K31" s="2110">
        <v>13879049.387292001</v>
      </c>
      <c r="L31" s="2113">
        <v>14711792.35052952</v>
      </c>
      <c r="M31" s="73"/>
      <c r="N31" s="74"/>
      <c r="O31" s="74"/>
      <c r="P31" s="74"/>
      <c r="Q31" s="74"/>
      <c r="R31" s="74"/>
      <c r="S31" s="74"/>
      <c r="T31" s="74"/>
      <c r="U31" s="74"/>
      <c r="V31" s="74"/>
      <c r="W31" s="74"/>
      <c r="X31" s="74"/>
    </row>
    <row r="32" spans="1:24" ht="11.25" customHeight="1" x14ac:dyDescent="0.25">
      <c r="A32" s="132" t="s">
        <v>455</v>
      </c>
      <c r="B32" s="172"/>
      <c r="C32" s="81">
        <f>'SA1'!C127</f>
        <v>0</v>
      </c>
      <c r="D32" s="85">
        <f>'SA1'!D127</f>
        <v>2854919</v>
      </c>
      <c r="E32" s="82">
        <f>'SA1'!E127</f>
        <v>4071246</v>
      </c>
      <c r="F32" s="83">
        <f>'SA1'!F127</f>
        <v>0</v>
      </c>
      <c r="G32" s="81">
        <f>'SA1'!G127</f>
        <v>0</v>
      </c>
      <c r="H32" s="82">
        <f>'SA1'!H127</f>
        <v>0</v>
      </c>
      <c r="I32" s="80">
        <f>'SA1'!I127</f>
        <v>0</v>
      </c>
      <c r="J32" s="84">
        <f>'SA1'!J127</f>
        <v>0</v>
      </c>
      <c r="K32" s="81">
        <f>'SA1'!K127</f>
        <v>0</v>
      </c>
      <c r="L32" s="82">
        <f>'SA1'!L127</f>
        <v>0</v>
      </c>
      <c r="M32" s="73"/>
      <c r="N32" s="74"/>
      <c r="O32" s="74"/>
      <c r="P32" s="74"/>
      <c r="Q32" s="74"/>
      <c r="R32" s="74"/>
      <c r="S32" s="74"/>
      <c r="T32" s="74"/>
      <c r="U32" s="74"/>
      <c r="V32" s="74"/>
      <c r="W32" s="74"/>
      <c r="X32" s="74"/>
    </row>
    <row r="33" spans="1:24" ht="11.25" customHeight="1" x14ac:dyDescent="0.25">
      <c r="A33" s="132" t="s">
        <v>742</v>
      </c>
      <c r="B33" s="172"/>
      <c r="C33" s="923">
        <f>'SA1'!C93</f>
        <v>0</v>
      </c>
      <c r="D33" s="923">
        <f>'SA1'!D93</f>
        <v>1173633</v>
      </c>
      <c r="E33" s="924">
        <f>'SA1'!E93</f>
        <v>1587562</v>
      </c>
      <c r="F33" s="925">
        <f>'SA1'!F93</f>
        <v>2467175</v>
      </c>
      <c r="G33" s="923">
        <f>'SA1'!G93</f>
        <v>2467175</v>
      </c>
      <c r="H33" s="924">
        <f>'SA1'!H93</f>
        <v>2467175</v>
      </c>
      <c r="I33" s="926">
        <f>'SA1'!I93</f>
        <v>2467175</v>
      </c>
      <c r="J33" s="927">
        <f>'SA1'!J93</f>
        <v>2749886.22</v>
      </c>
      <c r="K33" s="923">
        <f>'SA1'!K93</f>
        <v>2914879.86</v>
      </c>
      <c r="L33" s="924">
        <f>'SA1'!L93</f>
        <v>3089772.66</v>
      </c>
      <c r="M33" s="73"/>
      <c r="N33" s="74"/>
      <c r="O33" s="74"/>
      <c r="P33" s="74"/>
      <c r="Q33" s="74"/>
      <c r="R33" s="74"/>
      <c r="S33" s="74"/>
      <c r="T33" s="74"/>
      <c r="U33" s="74"/>
      <c r="V33" s="74"/>
      <c r="W33" s="74"/>
      <c r="X33" s="74"/>
    </row>
    <row r="34" spans="1:24" ht="11.25" customHeight="1" x14ac:dyDescent="0.25">
      <c r="A34" s="132" t="s">
        <v>910</v>
      </c>
      <c r="B34" s="172" t="s">
        <v>611</v>
      </c>
      <c r="C34" s="81">
        <f>'SA1'!C157</f>
        <v>35769651.939999998</v>
      </c>
      <c r="D34" s="85">
        <f>'SA1'!D157</f>
        <v>28920952</v>
      </c>
      <c r="E34" s="82">
        <f>'SA1'!E157</f>
        <v>31253065</v>
      </c>
      <c r="F34" s="83">
        <f>'SA1'!F157</f>
        <v>135385228.24000001</v>
      </c>
      <c r="G34" s="81">
        <f>'SA1'!G157</f>
        <v>133125180.42</v>
      </c>
      <c r="H34" s="82">
        <f>'SA1'!H157</f>
        <v>133125180.42</v>
      </c>
      <c r="I34" s="80">
        <f>'SA1'!I157</f>
        <v>133125180.42</v>
      </c>
      <c r="J34" s="84">
        <f>'SA1'!J157</f>
        <v>132974947.205</v>
      </c>
      <c r="K34" s="81">
        <f>'SA1'!K157</f>
        <v>139338344.447</v>
      </c>
      <c r="L34" s="82">
        <f>'SA1'!L157</f>
        <v>148582204.18019998</v>
      </c>
      <c r="M34" s="73"/>
      <c r="N34" s="74"/>
      <c r="O34" s="74"/>
      <c r="P34" s="74"/>
      <c r="Q34" s="74"/>
      <c r="R34" s="74"/>
      <c r="S34" s="74"/>
      <c r="T34" s="74"/>
      <c r="U34" s="74"/>
      <c r="V34" s="74"/>
      <c r="W34" s="74"/>
      <c r="X34" s="74"/>
    </row>
    <row r="35" spans="1:24" ht="11.25" customHeight="1" x14ac:dyDescent="0.25">
      <c r="A35" s="128" t="s">
        <v>381</v>
      </c>
      <c r="B35" s="171"/>
      <c r="C35" s="2110"/>
      <c r="D35" s="2110"/>
      <c r="E35" s="2106">
        <v>1305666</v>
      </c>
      <c r="F35" s="2114"/>
      <c r="G35" s="2110"/>
      <c r="H35" s="2106"/>
      <c r="I35" s="2108"/>
      <c r="J35" s="2116"/>
      <c r="K35" s="2110"/>
      <c r="L35" s="2113"/>
      <c r="M35" s="73"/>
      <c r="N35" s="74"/>
      <c r="O35" s="74"/>
      <c r="P35" s="74"/>
      <c r="Q35" s="74"/>
      <c r="R35" s="74"/>
      <c r="S35" s="74"/>
      <c r="T35" s="74"/>
      <c r="U35" s="74"/>
      <c r="V35" s="74"/>
      <c r="W35" s="74"/>
      <c r="X35" s="74"/>
    </row>
    <row r="36" spans="1:24" ht="11.25" customHeight="1" x14ac:dyDescent="0.25">
      <c r="A36" s="1237" t="s">
        <v>1573</v>
      </c>
      <c r="B36" s="1232"/>
      <c r="C36" s="1233">
        <f t="shared" ref="C36:L36" si="1">SUM(C25:C35)</f>
        <v>153405509.93000001</v>
      </c>
      <c r="D36" s="1233">
        <f>SUM(D25:D35)</f>
        <v>168264595</v>
      </c>
      <c r="E36" s="1234">
        <f t="shared" si="1"/>
        <v>178873710</v>
      </c>
      <c r="F36" s="1235">
        <f t="shared" si="1"/>
        <v>305416992.68000007</v>
      </c>
      <c r="G36" s="1233">
        <f t="shared" si="1"/>
        <v>298835365.98999995</v>
      </c>
      <c r="H36" s="1234">
        <f t="shared" si="1"/>
        <v>298835365.98999995</v>
      </c>
      <c r="I36" s="1235">
        <f t="shared" si="1"/>
        <v>298835365.98999995</v>
      </c>
      <c r="J36" s="1236">
        <f t="shared" si="1"/>
        <v>314026865.41035998</v>
      </c>
      <c r="K36" s="1233">
        <f t="shared" si="1"/>
        <v>331253378.21108162</v>
      </c>
      <c r="L36" s="1234">
        <f t="shared" si="1"/>
        <v>352012139.98232651</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1627</v>
      </c>
      <c r="B38" s="171"/>
      <c r="C38" s="96">
        <f t="shared" ref="C38:L38" si="3">C22-C36</f>
        <v>-1922570.9600000083</v>
      </c>
      <c r="D38" s="96">
        <f t="shared" si="3"/>
        <v>-5624675</v>
      </c>
      <c r="E38" s="97">
        <f t="shared" si="3"/>
        <v>8272688</v>
      </c>
      <c r="F38" s="98">
        <f t="shared" si="3"/>
        <v>-80647641.989800066</v>
      </c>
      <c r="G38" s="96">
        <f t="shared" si="3"/>
        <v>-75110386.389999956</v>
      </c>
      <c r="H38" s="97">
        <f t="shared" si="3"/>
        <v>-75110386.389999956</v>
      </c>
      <c r="I38" s="98">
        <f t="shared" si="3"/>
        <v>-75110386.389999956</v>
      </c>
      <c r="J38" s="99">
        <f t="shared" si="3"/>
        <v>-84175000.047039956</v>
      </c>
      <c r="K38" s="96">
        <f t="shared" si="3"/>
        <v>-86330840.836162418</v>
      </c>
      <c r="L38" s="97">
        <f t="shared" si="3"/>
        <v>-92516409.924512148</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1291</v>
      </c>
      <c r="B39" s="171"/>
      <c r="C39" s="2088">
        <v>27406238</v>
      </c>
      <c r="D39" s="2088">
        <v>17905588</v>
      </c>
      <c r="E39" s="2106">
        <v>31583815</v>
      </c>
      <c r="F39" s="2107">
        <v>32405000</v>
      </c>
      <c r="G39" s="2088">
        <v>35416882</v>
      </c>
      <c r="H39" s="2088">
        <v>35416882</v>
      </c>
      <c r="I39" s="2088">
        <v>35416882</v>
      </c>
      <c r="J39" s="2090">
        <v>31917000</v>
      </c>
      <c r="K39" s="2088">
        <v>34179000</v>
      </c>
      <c r="L39" s="2106">
        <v>36987000</v>
      </c>
      <c r="M39" s="73"/>
      <c r="N39" s="74"/>
      <c r="O39" s="74"/>
      <c r="P39" s="74"/>
      <c r="Q39" s="74"/>
      <c r="R39" s="74"/>
      <c r="S39" s="74"/>
      <c r="T39" s="74"/>
      <c r="U39" s="74"/>
      <c r="V39" s="74"/>
      <c r="W39" s="74"/>
      <c r="X39" s="74"/>
    </row>
    <row r="40" spans="1:24" ht="11.25" customHeight="1" x14ac:dyDescent="0.25">
      <c r="A40" s="128" t="s">
        <v>772</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110"/>
      <c r="D41" s="2088"/>
      <c r="E41" s="2106"/>
      <c r="F41" s="2117"/>
      <c r="G41" s="2118"/>
      <c r="H41" s="2119"/>
      <c r="I41" s="2108"/>
      <c r="J41" s="2120"/>
      <c r="K41" s="2118"/>
      <c r="L41" s="2119"/>
      <c r="M41" s="73"/>
      <c r="N41" s="74"/>
      <c r="O41" s="74"/>
      <c r="P41" s="74"/>
      <c r="Q41" s="74"/>
      <c r="R41" s="74"/>
      <c r="S41" s="74"/>
      <c r="T41" s="74"/>
      <c r="U41" s="74"/>
      <c r="V41" s="74"/>
      <c r="W41" s="74"/>
      <c r="X41" s="74"/>
    </row>
    <row r="42" spans="1:24" ht="25.5" x14ac:dyDescent="0.25">
      <c r="A42" s="175" t="s">
        <v>413</v>
      </c>
      <c r="B42" s="171"/>
      <c r="C42" s="176">
        <f t="shared" ref="C42:L42" si="5">SUM(C38:C41)</f>
        <v>25483667.039999992</v>
      </c>
      <c r="D42" s="176">
        <f t="shared" si="5"/>
        <v>12280913</v>
      </c>
      <c r="E42" s="178">
        <f t="shared" si="5"/>
        <v>39856503</v>
      </c>
      <c r="F42" s="179">
        <f t="shared" si="5"/>
        <v>-48242641.989800066</v>
      </c>
      <c r="G42" s="176">
        <f t="shared" si="5"/>
        <v>-39693504.389999956</v>
      </c>
      <c r="H42" s="178">
        <f t="shared" si="5"/>
        <v>-39693504.389999956</v>
      </c>
      <c r="I42" s="179">
        <f t="shared" si="5"/>
        <v>-39693504.389999956</v>
      </c>
      <c r="J42" s="180">
        <f t="shared" si="5"/>
        <v>-52258000.047039956</v>
      </c>
      <c r="K42" s="176">
        <f t="shared" si="5"/>
        <v>-52151840.836162418</v>
      </c>
      <c r="L42" s="178">
        <f t="shared" si="5"/>
        <v>-55529409.924512148</v>
      </c>
      <c r="M42" s="73"/>
      <c r="N42" s="74"/>
      <c r="O42" s="74"/>
      <c r="P42" s="74"/>
      <c r="Q42" s="74"/>
      <c r="R42" s="74"/>
      <c r="S42" s="74"/>
      <c r="T42" s="74"/>
      <c r="U42" s="74"/>
      <c r="V42" s="74"/>
      <c r="W42" s="74"/>
      <c r="X42" s="74"/>
    </row>
    <row r="43" spans="1:24" ht="11.25" customHeight="1" x14ac:dyDescent="0.25">
      <c r="A43" s="128" t="s">
        <v>999</v>
      </c>
      <c r="B43" s="171"/>
      <c r="C43" s="2110"/>
      <c r="D43" s="2110"/>
      <c r="E43" s="2113"/>
      <c r="F43" s="2114"/>
      <c r="G43" s="2110"/>
      <c r="H43" s="2113"/>
      <c r="I43" s="2114"/>
      <c r="J43" s="2116"/>
      <c r="K43" s="2110"/>
      <c r="L43" s="2113"/>
      <c r="M43" s="73"/>
      <c r="N43" s="74"/>
      <c r="O43" s="74"/>
      <c r="P43" s="74"/>
      <c r="Q43" s="74"/>
      <c r="R43" s="74"/>
      <c r="S43" s="74"/>
      <c r="T43" s="74"/>
      <c r="U43" s="74"/>
      <c r="V43" s="74"/>
      <c r="W43" s="74"/>
      <c r="X43" s="74"/>
    </row>
    <row r="44" spans="1:24" ht="11.25" customHeight="1" x14ac:dyDescent="0.25">
      <c r="A44" s="181" t="s">
        <v>1000</v>
      </c>
      <c r="B44" s="171"/>
      <c r="C44" s="91">
        <f t="shared" ref="C44:L44" si="6">C42-C43</f>
        <v>25483667.039999992</v>
      </c>
      <c r="D44" s="91">
        <f t="shared" si="6"/>
        <v>12280913</v>
      </c>
      <c r="E44" s="92">
        <f t="shared" si="6"/>
        <v>39856503</v>
      </c>
      <c r="F44" s="93">
        <f t="shared" si="6"/>
        <v>-48242641.989800066</v>
      </c>
      <c r="G44" s="91">
        <f t="shared" si="6"/>
        <v>-39693504.389999956</v>
      </c>
      <c r="H44" s="92">
        <f t="shared" si="6"/>
        <v>-39693504.389999956</v>
      </c>
      <c r="I44" s="93">
        <f t="shared" si="6"/>
        <v>-39693504.389999956</v>
      </c>
      <c r="J44" s="94">
        <f t="shared" si="6"/>
        <v>-52258000.047039956</v>
      </c>
      <c r="K44" s="91">
        <f t="shared" si="6"/>
        <v>-52151840.836162418</v>
      </c>
      <c r="L44" s="92">
        <f t="shared" si="6"/>
        <v>-55529409.924512148</v>
      </c>
      <c r="M44" s="73"/>
      <c r="N44" s="74"/>
      <c r="O44" s="74"/>
      <c r="P44" s="74"/>
      <c r="Q44" s="74"/>
      <c r="R44" s="74"/>
      <c r="S44" s="74"/>
      <c r="T44" s="74"/>
      <c r="U44" s="74"/>
      <c r="V44" s="74"/>
      <c r="W44" s="74"/>
      <c r="X44" s="74"/>
    </row>
    <row r="45" spans="1:24" ht="11.25" customHeight="1" x14ac:dyDescent="0.25">
      <c r="A45" s="128" t="s">
        <v>1067</v>
      </c>
      <c r="B45" s="171"/>
      <c r="C45" s="2110"/>
      <c r="D45" s="2110"/>
      <c r="E45" s="2113"/>
      <c r="F45" s="2114"/>
      <c r="G45" s="2110"/>
      <c r="H45" s="2113"/>
      <c r="I45" s="2114"/>
      <c r="J45" s="2116"/>
      <c r="K45" s="2110"/>
      <c r="L45" s="2113"/>
      <c r="M45" s="73"/>
      <c r="N45" s="74"/>
      <c r="O45" s="74"/>
      <c r="P45" s="74"/>
      <c r="Q45" s="74"/>
      <c r="R45" s="74"/>
      <c r="S45" s="74"/>
      <c r="T45" s="74"/>
      <c r="U45" s="74"/>
      <c r="V45" s="74"/>
      <c r="W45" s="74"/>
      <c r="X45" s="74"/>
    </row>
    <row r="46" spans="1:24" x14ac:dyDescent="0.25">
      <c r="A46" s="181" t="s">
        <v>189</v>
      </c>
      <c r="B46" s="171"/>
      <c r="C46" s="176">
        <f t="shared" ref="C46:L46" si="7">SUM(C44:C45)</f>
        <v>25483667.039999992</v>
      </c>
      <c r="D46" s="176">
        <f t="shared" si="7"/>
        <v>12280913</v>
      </c>
      <c r="E46" s="178">
        <f t="shared" si="7"/>
        <v>39856503</v>
      </c>
      <c r="F46" s="179">
        <f t="shared" si="7"/>
        <v>-48242641.989800066</v>
      </c>
      <c r="G46" s="176">
        <f t="shared" si="7"/>
        <v>-39693504.389999956</v>
      </c>
      <c r="H46" s="178">
        <f t="shared" si="7"/>
        <v>-39693504.389999956</v>
      </c>
      <c r="I46" s="179">
        <f t="shared" si="7"/>
        <v>-39693504.389999956</v>
      </c>
      <c r="J46" s="180">
        <f t="shared" si="7"/>
        <v>-52258000.047039956</v>
      </c>
      <c r="K46" s="176">
        <f t="shared" si="7"/>
        <v>-52151840.836162418</v>
      </c>
      <c r="L46" s="178">
        <f t="shared" si="7"/>
        <v>-55529409.924512148</v>
      </c>
      <c r="M46" s="73"/>
      <c r="N46" s="74"/>
      <c r="O46" s="74"/>
      <c r="P46" s="74"/>
      <c r="Q46" s="74"/>
      <c r="R46" s="74"/>
      <c r="S46" s="74"/>
      <c r="T46" s="74"/>
      <c r="U46" s="74"/>
      <c r="V46" s="74"/>
      <c r="W46" s="74"/>
      <c r="X46" s="74"/>
    </row>
    <row r="47" spans="1:24" x14ac:dyDescent="0.25">
      <c r="A47" s="182" t="s">
        <v>435</v>
      </c>
      <c r="B47" s="171">
        <v>7</v>
      </c>
      <c r="C47" s="2110"/>
      <c r="D47" s="2110"/>
      <c r="E47" s="2113"/>
      <c r="F47" s="2107"/>
      <c r="G47" s="2088"/>
      <c r="H47" s="2106"/>
      <c r="I47" s="2107"/>
      <c r="J47" s="2090"/>
      <c r="K47" s="2088"/>
      <c r="L47" s="2106"/>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25483667.039999992</v>
      </c>
      <c r="D48" s="108">
        <f t="shared" si="8"/>
        <v>12280913</v>
      </c>
      <c r="E48" s="230">
        <f t="shared" si="8"/>
        <v>39856503</v>
      </c>
      <c r="F48" s="231">
        <f t="shared" si="8"/>
        <v>-48242641.989800066</v>
      </c>
      <c r="G48" s="108">
        <f t="shared" si="8"/>
        <v>-39693504.389999956</v>
      </c>
      <c r="H48" s="106">
        <f t="shared" si="8"/>
        <v>-39693504.389999956</v>
      </c>
      <c r="I48" s="107">
        <f t="shared" si="8"/>
        <v>-39693504.389999956</v>
      </c>
      <c r="J48" s="110">
        <f t="shared" si="8"/>
        <v>-52258000.047039956</v>
      </c>
      <c r="K48" s="108">
        <f t="shared" si="8"/>
        <v>-52151840.836162418</v>
      </c>
      <c r="L48" s="106">
        <f t="shared" si="8"/>
        <v>-55529409.924512148</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743</v>
      </c>
      <c r="B51" s="1091"/>
      <c r="C51" s="1095"/>
      <c r="D51" s="1094"/>
      <c r="E51" s="1095"/>
      <c r="F51" s="1095"/>
      <c r="G51" s="1095"/>
      <c r="H51" s="1095"/>
      <c r="I51" s="1095"/>
      <c r="J51" s="1095"/>
      <c r="K51" s="1095"/>
      <c r="L51" s="1095"/>
    </row>
    <row r="52" spans="1:24" ht="11.25" customHeight="1" x14ac:dyDescent="0.25">
      <c r="A52" s="1120" t="s">
        <v>555</v>
      </c>
      <c r="B52" s="1091"/>
      <c r="C52" s="1095"/>
      <c r="D52" s="1094"/>
      <c r="E52" s="1095"/>
      <c r="F52" s="1095"/>
      <c r="G52" s="1095"/>
      <c r="H52" s="1095"/>
      <c r="I52" s="1095"/>
      <c r="J52" s="1095"/>
      <c r="K52" s="1095"/>
      <c r="L52" s="1095"/>
    </row>
    <row r="53" spans="1:24" ht="11.25" customHeight="1" x14ac:dyDescent="0.25">
      <c r="A53" s="1120" t="s">
        <v>556</v>
      </c>
      <c r="B53" s="1091"/>
      <c r="C53" s="1095"/>
      <c r="D53" s="1094"/>
      <c r="E53" s="1095"/>
      <c r="F53" s="1095"/>
      <c r="G53" s="1095"/>
      <c r="H53" s="1095"/>
      <c r="I53" s="1095"/>
      <c r="J53" s="1095"/>
      <c r="K53" s="1095"/>
      <c r="L53" s="1095"/>
    </row>
    <row r="54" spans="1:24" ht="11.25" customHeight="1" x14ac:dyDescent="0.25">
      <c r="A54" s="1120" t="s">
        <v>1208</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1156</v>
      </c>
      <c r="B56" s="1091"/>
      <c r="C56" s="1095"/>
      <c r="D56" s="1094"/>
      <c r="E56" s="1095"/>
      <c r="F56" s="1095"/>
      <c r="G56" s="1095"/>
      <c r="H56" s="1095"/>
      <c r="I56" s="1095"/>
      <c r="J56" s="1095"/>
      <c r="K56" s="1095"/>
      <c r="L56" s="1095"/>
    </row>
    <row r="57" spans="1:24" ht="11.25" customHeight="1" x14ac:dyDescent="0.25">
      <c r="A57" s="1120" t="s">
        <v>859</v>
      </c>
      <c r="B57" s="1091"/>
      <c r="C57" s="1095"/>
      <c r="D57" s="1094"/>
      <c r="E57" s="1095"/>
      <c r="F57" s="1095"/>
      <c r="G57" s="1095"/>
      <c r="H57" s="1095"/>
      <c r="I57" s="1095"/>
      <c r="J57" s="1095"/>
      <c r="K57" s="1095"/>
      <c r="L57" s="1095"/>
    </row>
    <row r="58" spans="1:24" ht="11.25" customHeight="1" x14ac:dyDescent="0.25">
      <c r="A58" s="1121" t="s">
        <v>279</v>
      </c>
      <c r="B58" s="1051"/>
      <c r="C58" s="1098">
        <f>C46-'A3-FinPerf V'!C39</f>
        <v>5.3796172142028809E-4</v>
      </c>
      <c r="D58" s="1098">
        <f>D46-'A3-FinPerf V'!D39</f>
        <v>0.41113099455833435</v>
      </c>
      <c r="E58" s="1098">
        <f>E46-'A3-FinPerf V'!E39</f>
        <v>1.999974250793457E-3</v>
      </c>
      <c r="F58" s="1098">
        <f>F46-'A3-FinPerf V'!F39</f>
        <v>-0.199800044298172</v>
      </c>
      <c r="G58" s="1098">
        <f>G46-'A3-FinPerf V'!G39</f>
        <v>0</v>
      </c>
      <c r="H58" s="1098">
        <f>H46-'A3-FinPerf V'!H39</f>
        <v>0</v>
      </c>
      <c r="I58" s="1098"/>
      <c r="J58" s="1098">
        <f>J46-'A3-FinPerf V'!I39</f>
        <v>-4.3105751276016235E-2</v>
      </c>
      <c r="K58" s="1098">
        <f>K46-'A3-FinPerf V'!J39</f>
        <v>-0.83986303210258484</v>
      </c>
      <c r="L58" s="1098">
        <f>L46-'A3-FinPerf V'!K39</f>
        <v>0.47196519374847412</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178889176.97</v>
      </c>
      <c r="D60" s="1123">
        <f t="shared" si="10"/>
        <v>180545508</v>
      </c>
      <c r="E60" s="1123">
        <f t="shared" si="10"/>
        <v>218730213</v>
      </c>
      <c r="F60" s="1123">
        <f t="shared" si="10"/>
        <v>257174350.6902</v>
      </c>
      <c r="G60" s="1123">
        <f t="shared" si="10"/>
        <v>259141861.59999999</v>
      </c>
      <c r="H60" s="1123">
        <f t="shared" si="10"/>
        <v>259141861.59999999</v>
      </c>
      <c r="I60" s="1123">
        <f t="shared" si="10"/>
        <v>259141861.59999999</v>
      </c>
      <c r="J60" s="1123">
        <f t="shared" si="10"/>
        <v>261768865.36332002</v>
      </c>
      <c r="K60" s="1123">
        <f t="shared" si="10"/>
        <v>279101537.37491918</v>
      </c>
      <c r="L60" s="1123">
        <f t="shared" si="10"/>
        <v>296482730.05781436</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27" activePane="bottomRight" state="frozen"/>
      <selection pane="topRight"/>
      <selection pane="bottomLeft"/>
      <selection pane="bottomRight" sqref="A1:XFD104857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LIM471 Ephraim Mogale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3"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491</v>
      </c>
      <c r="B4" s="169"/>
      <c r="C4" s="189"/>
      <c r="D4" s="189"/>
      <c r="E4" s="190"/>
      <c r="F4" s="191"/>
      <c r="G4" s="189"/>
      <c r="H4" s="192"/>
      <c r="I4" s="190"/>
      <c r="J4" s="191"/>
      <c r="K4" s="189"/>
      <c r="L4" s="192"/>
    </row>
    <row r="5" spans="1:13" ht="11.25" customHeight="1" x14ac:dyDescent="0.25">
      <c r="A5" s="59" t="s">
        <v>986</v>
      </c>
      <c r="B5" s="171">
        <v>2</v>
      </c>
      <c r="C5" s="193"/>
      <c r="D5" s="193"/>
      <c r="E5" s="194"/>
      <c r="F5" s="195"/>
      <c r="G5" s="193"/>
      <c r="H5" s="196"/>
      <c r="I5" s="194"/>
      <c r="J5" s="195"/>
      <c r="K5" s="193"/>
      <c r="L5" s="196"/>
    </row>
    <row r="6" spans="1:13" ht="11.25" customHeight="1" x14ac:dyDescent="0.25">
      <c r="A6" s="68" t="str">
        <f>A5A!A6</f>
        <v>Vote 1 - EXECUTIVE AND COUNCIL</v>
      </c>
      <c r="B6" s="171"/>
      <c r="C6" s="70">
        <f>A5A!C6</f>
        <v>0</v>
      </c>
      <c r="D6" s="70">
        <f>A5A!D6</f>
        <v>0</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MUNICIPAL MANAGER</v>
      </c>
      <c r="B7" s="171"/>
      <c r="C7" s="70">
        <f>A5A!C17</f>
        <v>0</v>
      </c>
      <c r="D7" s="70">
        <f>A5A!D17</f>
        <v>0</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FINANCE</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CORPORATE SERVICES MANAGEMENT</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COMMUNITY SERVICES MANAGEMENT</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TECHNICAL SERVICES</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 xml:space="preserve">Vote 7 - </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 xml:space="preserve">Vote 8 - </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[NAME OF VOTE 9]</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[NAME OF VOTE 10]</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[NAME OF VOTE 11]</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[NAME OF VOTE 12]</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[NAME OF VOTE 13]</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[NAME OF VOTE 14]</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0</v>
      </c>
      <c r="D21" s="1205">
        <f t="shared" ref="D21:L21" si="0">SUM(D6:D20)</f>
        <v>0</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987</v>
      </c>
      <c r="B23" s="171">
        <v>2</v>
      </c>
      <c r="C23" s="202"/>
      <c r="D23" s="202"/>
      <c r="E23" s="71"/>
      <c r="F23" s="72"/>
      <c r="G23" s="70"/>
      <c r="H23" s="71"/>
      <c r="I23" s="69"/>
      <c r="J23" s="72"/>
      <c r="K23" s="70"/>
      <c r="L23" s="71"/>
      <c r="M23" s="247"/>
    </row>
    <row r="24" spans="1:13" ht="11.25" customHeight="1" x14ac:dyDescent="0.25">
      <c r="A24" s="68" t="str">
        <f>A6</f>
        <v>Vote 1 - EXECUTIVE AND COUNCIL</v>
      </c>
      <c r="B24" s="171"/>
      <c r="C24" s="202">
        <f>A5A!C175</f>
        <v>800000</v>
      </c>
      <c r="D24" s="202">
        <f>A5A!D175</f>
        <v>0</v>
      </c>
      <c r="E24" s="71">
        <f>A5A!E175</f>
        <v>0</v>
      </c>
      <c r="F24" s="72">
        <f>A5A!F175</f>
        <v>0</v>
      </c>
      <c r="G24" s="70">
        <f>A5A!G175</f>
        <v>0</v>
      </c>
      <c r="H24" s="71">
        <f>A5A!H175</f>
        <v>0</v>
      </c>
      <c r="I24" s="69">
        <f>A5A!I175</f>
        <v>0</v>
      </c>
      <c r="J24" s="72">
        <f>A5A!J175</f>
        <v>800000</v>
      </c>
      <c r="K24" s="70">
        <f>A5A!K175</f>
        <v>0</v>
      </c>
      <c r="L24" s="71">
        <f>A5A!L175</f>
        <v>0</v>
      </c>
      <c r="M24" s="247"/>
    </row>
    <row r="25" spans="1:13" ht="11.25" customHeight="1" x14ac:dyDescent="0.25">
      <c r="A25" s="68" t="str">
        <f t="shared" ref="A25:A37" si="1">A7</f>
        <v>Vote 2 - MUNICIPAL MANAGER</v>
      </c>
      <c r="B25" s="171"/>
      <c r="C25" s="202">
        <f>A5A!C186</f>
        <v>0</v>
      </c>
      <c r="D25" s="202">
        <f>A5A!D186</f>
        <v>0</v>
      </c>
      <c r="E25" s="71">
        <f>A5A!E186</f>
        <v>0</v>
      </c>
      <c r="F25" s="72">
        <f>A5A!F186</f>
        <v>0</v>
      </c>
      <c r="G25" s="70">
        <f>A5A!G186</f>
        <v>0</v>
      </c>
      <c r="H25" s="71">
        <f>A5A!H186</f>
        <v>0</v>
      </c>
      <c r="I25" s="69">
        <f>A5A!I186</f>
        <v>0</v>
      </c>
      <c r="J25" s="72">
        <f>A5A!J186</f>
        <v>0</v>
      </c>
      <c r="K25" s="70">
        <f>A5A!K186</f>
        <v>0</v>
      </c>
      <c r="L25" s="71">
        <f>A5A!L186</f>
        <v>0</v>
      </c>
      <c r="M25" s="247"/>
    </row>
    <row r="26" spans="1:13" ht="11.25" customHeight="1" x14ac:dyDescent="0.25">
      <c r="A26" s="68" t="str">
        <f t="shared" si="1"/>
        <v>Vote 3 - FINANCE</v>
      </c>
      <c r="B26" s="171"/>
      <c r="C26" s="202">
        <f>A5A!C197</f>
        <v>0</v>
      </c>
      <c r="D26" s="202">
        <f>A5A!D197</f>
        <v>0</v>
      </c>
      <c r="E26" s="71">
        <f>A5A!E197</f>
        <v>0</v>
      </c>
      <c r="F26" s="72">
        <f>A5A!F197</f>
        <v>0</v>
      </c>
      <c r="G26" s="70">
        <f>A5A!G197</f>
        <v>0</v>
      </c>
      <c r="H26" s="71">
        <f>A5A!H197</f>
        <v>0</v>
      </c>
      <c r="I26" s="69">
        <f>A5A!I197</f>
        <v>0</v>
      </c>
      <c r="J26" s="72">
        <f>A5A!J197</f>
        <v>0</v>
      </c>
      <c r="K26" s="70">
        <f>A5A!K197</f>
        <v>0</v>
      </c>
      <c r="L26" s="71">
        <f>A5A!L197</f>
        <v>0</v>
      </c>
      <c r="M26" s="247"/>
    </row>
    <row r="27" spans="1:13" ht="11.25" customHeight="1" x14ac:dyDescent="0.25">
      <c r="A27" s="68" t="str">
        <f t="shared" si="1"/>
        <v>Vote 4 - CORPORATE SERVICES MANAGEMENT</v>
      </c>
      <c r="B27" s="171"/>
      <c r="C27" s="202">
        <f>A5A!C208</f>
        <v>1000000</v>
      </c>
      <c r="D27" s="202">
        <f>A5A!D208</f>
        <v>1217854.19</v>
      </c>
      <c r="E27" s="71">
        <f>A5A!E208</f>
        <v>177182</v>
      </c>
      <c r="F27" s="72">
        <f>A5A!F208</f>
        <v>1513874</v>
      </c>
      <c r="G27" s="70">
        <f>A5A!G208</f>
        <v>1013874</v>
      </c>
      <c r="H27" s="71">
        <f>A5A!H208</f>
        <v>1013874</v>
      </c>
      <c r="I27" s="69">
        <f>A5A!I208</f>
        <v>1013874</v>
      </c>
      <c r="J27" s="72">
        <f>A5A!J208</f>
        <v>971600</v>
      </c>
      <c r="K27" s="70">
        <f>A5A!K208</f>
        <v>1029896</v>
      </c>
      <c r="L27" s="71">
        <f>A5A!L208</f>
        <v>1091689.76</v>
      </c>
      <c r="M27" s="247"/>
    </row>
    <row r="28" spans="1:13" ht="11.25" customHeight="1" x14ac:dyDescent="0.25">
      <c r="A28" s="68" t="str">
        <f t="shared" si="1"/>
        <v>Vote 5 - COMMUNITY SERVICES MANAGEMENT</v>
      </c>
      <c r="B28" s="171"/>
      <c r="C28" s="202">
        <f>A5A!C219</f>
        <v>2675000</v>
      </c>
      <c r="D28" s="202">
        <f>A5A!D219</f>
        <v>0</v>
      </c>
      <c r="E28" s="71">
        <f>A5A!E219</f>
        <v>6240027</v>
      </c>
      <c r="F28" s="72">
        <f>A5A!F219</f>
        <v>3536339</v>
      </c>
      <c r="G28" s="70">
        <f>A5A!G219</f>
        <v>2819839</v>
      </c>
      <c r="H28" s="71">
        <f>A5A!H219</f>
        <v>2819839</v>
      </c>
      <c r="I28" s="69">
        <f>A5A!I219</f>
        <v>2819839</v>
      </c>
      <c r="J28" s="72">
        <f>A5A!J219</f>
        <v>6094000</v>
      </c>
      <c r="K28" s="70">
        <f>A5A!K219</f>
        <v>6459640</v>
      </c>
      <c r="L28" s="71">
        <f>A5A!L219</f>
        <v>6847218.4000000004</v>
      </c>
      <c r="M28" s="247"/>
    </row>
    <row r="29" spans="1:13" ht="11.25" customHeight="1" x14ac:dyDescent="0.25">
      <c r="A29" s="68" t="str">
        <f t="shared" si="1"/>
        <v>Vote 6 - TECHNICAL SERVICES</v>
      </c>
      <c r="B29" s="171"/>
      <c r="C29" s="202">
        <f>A5A!C230</f>
        <v>52269666</v>
      </c>
      <c r="D29" s="202">
        <f>A5A!D230</f>
        <v>33524476.330000002</v>
      </c>
      <c r="E29" s="71">
        <f>A5A!E230</f>
        <v>40090994</v>
      </c>
      <c r="F29" s="72">
        <f>A5A!F230</f>
        <v>65765000</v>
      </c>
      <c r="G29" s="70">
        <f>A5A!G230</f>
        <v>64621243</v>
      </c>
      <c r="H29" s="71">
        <f>A5A!H230</f>
        <v>64621243</v>
      </c>
      <c r="I29" s="69">
        <f>A5A!I230</f>
        <v>64621243</v>
      </c>
      <c r="J29" s="72">
        <f>A5A!J230</f>
        <v>56842357.5</v>
      </c>
      <c r="K29" s="70">
        <f>A5A!K230</f>
        <v>60599878.950000003</v>
      </c>
      <c r="L29" s="71">
        <f>A5A!L230</f>
        <v>64993131.689999998</v>
      </c>
      <c r="M29" s="247"/>
    </row>
    <row r="30" spans="1:13" ht="11.25" customHeight="1" x14ac:dyDescent="0.25">
      <c r="A30" s="68" t="str">
        <f t="shared" si="1"/>
        <v xml:space="preserve">Vote 7 - </v>
      </c>
      <c r="B30" s="171"/>
      <c r="C30" s="202">
        <f>A5A!C241</f>
        <v>0</v>
      </c>
      <c r="D30" s="202">
        <f>A5A!D241</f>
        <v>0</v>
      </c>
      <c r="E30" s="71">
        <f>A5A!E241</f>
        <v>0</v>
      </c>
      <c r="F30" s="72">
        <f>A5A!F241</f>
        <v>0</v>
      </c>
      <c r="G30" s="70">
        <f>A5A!G241</f>
        <v>0</v>
      </c>
      <c r="H30" s="71">
        <f>A5A!H241</f>
        <v>0</v>
      </c>
      <c r="I30" s="69">
        <f>A5A!I241</f>
        <v>0</v>
      </c>
      <c r="J30" s="72">
        <f>A5A!J241</f>
        <v>0</v>
      </c>
      <c r="K30" s="70">
        <f>A5A!K241</f>
        <v>0</v>
      </c>
      <c r="L30" s="71">
        <f>A5A!L241</f>
        <v>0</v>
      </c>
      <c r="M30" s="247"/>
    </row>
    <row r="31" spans="1:13" ht="11.25" customHeight="1" x14ac:dyDescent="0.25">
      <c r="A31" s="68" t="str">
        <f t="shared" si="1"/>
        <v xml:space="preserve">Vote 8 - </v>
      </c>
      <c r="B31" s="171"/>
      <c r="C31" s="202">
        <f>A5A!C252</f>
        <v>0</v>
      </c>
      <c r="D31" s="202">
        <f>A5A!D252</f>
        <v>0</v>
      </c>
      <c r="E31" s="71">
        <f>A5A!E252</f>
        <v>0</v>
      </c>
      <c r="F31" s="72">
        <f>A5A!F252</f>
        <v>0</v>
      </c>
      <c r="G31" s="70">
        <f>A5A!G252</f>
        <v>0</v>
      </c>
      <c r="H31" s="71">
        <f>A5A!H252</f>
        <v>0</v>
      </c>
      <c r="I31" s="69">
        <f>A5A!I252</f>
        <v>0</v>
      </c>
      <c r="J31" s="72">
        <f>A5A!J252</f>
        <v>800000</v>
      </c>
      <c r="K31" s="70">
        <f>A5A!K252</f>
        <v>848000</v>
      </c>
      <c r="L31" s="71">
        <f>A5A!L252</f>
        <v>898880</v>
      </c>
      <c r="M31" s="247"/>
    </row>
    <row r="32" spans="1:13" ht="11.25" customHeight="1" x14ac:dyDescent="0.25">
      <c r="A32" s="68" t="str">
        <f t="shared" si="1"/>
        <v>Vote 9 - [NAME OF VOTE 9]</v>
      </c>
      <c r="B32" s="171"/>
      <c r="C32" s="202">
        <f>A5A!C263</f>
        <v>0</v>
      </c>
      <c r="D32" s="202">
        <f>A5A!D263</f>
        <v>0</v>
      </c>
      <c r="E32" s="71">
        <f>A5A!E263</f>
        <v>0</v>
      </c>
      <c r="F32" s="72">
        <f>A5A!F263</f>
        <v>0</v>
      </c>
      <c r="G32" s="70">
        <f>A5A!G263</f>
        <v>0</v>
      </c>
      <c r="H32" s="71">
        <f>A5A!H263</f>
        <v>0</v>
      </c>
      <c r="I32" s="69">
        <f>A5A!I263</f>
        <v>0</v>
      </c>
      <c r="J32" s="72">
        <f>A5A!J263</f>
        <v>0</v>
      </c>
      <c r="K32" s="70">
        <f>A5A!K263</f>
        <v>0</v>
      </c>
      <c r="L32" s="71">
        <f>A5A!L263</f>
        <v>0</v>
      </c>
      <c r="M32" s="247"/>
    </row>
    <row r="33" spans="1:18" ht="11.25" customHeight="1" x14ac:dyDescent="0.25">
      <c r="A33" s="68" t="str">
        <f t="shared" si="1"/>
        <v>Vote 10 - [NAME OF VOTE 10]</v>
      </c>
      <c r="B33" s="171"/>
      <c r="C33" s="202">
        <f>A5A!C274</f>
        <v>0</v>
      </c>
      <c r="D33" s="202">
        <f>A5A!D274</f>
        <v>0</v>
      </c>
      <c r="E33" s="71">
        <f>A5A!E274</f>
        <v>0</v>
      </c>
      <c r="F33" s="72">
        <f>A5A!F274</f>
        <v>0</v>
      </c>
      <c r="G33" s="70">
        <f>A5A!G274</f>
        <v>0</v>
      </c>
      <c r="H33" s="71">
        <f>A5A!H274</f>
        <v>0</v>
      </c>
      <c r="I33" s="69">
        <f>A5A!I274</f>
        <v>0</v>
      </c>
      <c r="J33" s="72">
        <f>A5A!J274</f>
        <v>0</v>
      </c>
      <c r="K33" s="70">
        <f>A5A!K274</f>
        <v>0</v>
      </c>
      <c r="L33" s="71">
        <f>A5A!L274</f>
        <v>0</v>
      </c>
      <c r="M33" s="247"/>
    </row>
    <row r="34" spans="1:18" ht="11.25" customHeight="1" x14ac:dyDescent="0.25">
      <c r="A34" s="68" t="str">
        <f t="shared" si="1"/>
        <v>Vote 11 - [NAME OF VOTE 11]</v>
      </c>
      <c r="B34" s="171"/>
      <c r="C34" s="202">
        <f>A5A!C285</f>
        <v>0</v>
      </c>
      <c r="D34" s="202">
        <f>A5A!D285</f>
        <v>0</v>
      </c>
      <c r="E34" s="71">
        <f>A5A!E285</f>
        <v>0</v>
      </c>
      <c r="F34" s="72">
        <f>A5A!F285</f>
        <v>0</v>
      </c>
      <c r="G34" s="70">
        <f>A5A!G285</f>
        <v>0</v>
      </c>
      <c r="H34" s="71">
        <f>A5A!H285</f>
        <v>0</v>
      </c>
      <c r="I34" s="69">
        <f>A5A!I285</f>
        <v>0</v>
      </c>
      <c r="J34" s="72">
        <f>A5A!J285</f>
        <v>0</v>
      </c>
      <c r="K34" s="70">
        <f>A5A!K285</f>
        <v>0</v>
      </c>
      <c r="L34" s="71">
        <f>A5A!L285</f>
        <v>0</v>
      </c>
      <c r="M34" s="247"/>
    </row>
    <row r="35" spans="1:18" ht="11.25" customHeight="1" x14ac:dyDescent="0.25">
      <c r="A35" s="68" t="str">
        <f t="shared" si="1"/>
        <v>Vote 12 - [NAME OF VOTE 12]</v>
      </c>
      <c r="B35" s="171"/>
      <c r="C35" s="202">
        <f>A5A!C296</f>
        <v>0</v>
      </c>
      <c r="D35" s="202">
        <f>A5A!D296</f>
        <v>0</v>
      </c>
      <c r="E35" s="71">
        <f>A5A!E296</f>
        <v>0</v>
      </c>
      <c r="F35" s="72">
        <f>A5A!F296</f>
        <v>0</v>
      </c>
      <c r="G35" s="70">
        <f>A5A!G296</f>
        <v>0</v>
      </c>
      <c r="H35" s="71">
        <f>A5A!H296</f>
        <v>0</v>
      </c>
      <c r="I35" s="69">
        <f>A5A!I296</f>
        <v>0</v>
      </c>
      <c r="J35" s="72">
        <f>A5A!J296</f>
        <v>0</v>
      </c>
      <c r="K35" s="70">
        <f>A5A!K296</f>
        <v>0</v>
      </c>
      <c r="L35" s="71">
        <f>A5A!L296</f>
        <v>0</v>
      </c>
      <c r="M35" s="247"/>
    </row>
    <row r="36" spans="1:18" ht="11.25" customHeight="1" x14ac:dyDescent="0.25">
      <c r="A36" s="68" t="str">
        <f t="shared" si="1"/>
        <v>Vote 13 - [NAME OF VOTE 13]</v>
      </c>
      <c r="B36" s="171"/>
      <c r="C36" s="1365">
        <f>A5A!C307</f>
        <v>0</v>
      </c>
      <c r="D36" s="1365">
        <f>A5A!D307</f>
        <v>0</v>
      </c>
      <c r="E36" s="1366">
        <f>A5A!E307</f>
        <v>0</v>
      </c>
      <c r="F36" s="1367">
        <f>A5A!F307</f>
        <v>0</v>
      </c>
      <c r="G36" s="1325">
        <f>A5A!G307</f>
        <v>0</v>
      </c>
      <c r="H36" s="1366">
        <f>A5A!H307</f>
        <v>0</v>
      </c>
      <c r="I36" s="1326">
        <f>A5A!I307</f>
        <v>0</v>
      </c>
      <c r="J36" s="1367">
        <f>A5A!J307</f>
        <v>0</v>
      </c>
      <c r="K36" s="1325">
        <f>A5A!K307</f>
        <v>0</v>
      </c>
      <c r="L36" s="1366">
        <f>A5A!L307</f>
        <v>0</v>
      </c>
      <c r="M36" s="247"/>
    </row>
    <row r="37" spans="1:18" ht="11.25" customHeight="1" x14ac:dyDescent="0.25">
      <c r="A37" s="68" t="str">
        <f t="shared" si="1"/>
        <v>Vote 14 - [NAME OF VOTE 14]</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1274</v>
      </c>
      <c r="B39" s="171"/>
      <c r="C39" s="1202">
        <f>SUM(C24:C38)</f>
        <v>56744666</v>
      </c>
      <c r="D39" s="1202">
        <f t="shared" ref="D39:L39" si="2">SUM(D24:D38)</f>
        <v>34742330.520000003</v>
      </c>
      <c r="E39" s="1203">
        <f t="shared" si="2"/>
        <v>46508203</v>
      </c>
      <c r="F39" s="1204">
        <f t="shared" si="2"/>
        <v>70815213</v>
      </c>
      <c r="G39" s="1205">
        <f t="shared" si="2"/>
        <v>68454956</v>
      </c>
      <c r="H39" s="1203">
        <f t="shared" si="2"/>
        <v>68454956</v>
      </c>
      <c r="I39" s="1206">
        <f t="shared" si="2"/>
        <v>68454956</v>
      </c>
      <c r="J39" s="1204">
        <f t="shared" si="2"/>
        <v>65507957.5</v>
      </c>
      <c r="K39" s="1205">
        <f t="shared" si="2"/>
        <v>68937414.950000003</v>
      </c>
      <c r="L39" s="1203">
        <f t="shared" si="2"/>
        <v>73830919.849999994</v>
      </c>
      <c r="M39" s="247"/>
    </row>
    <row r="40" spans="1:18" x14ac:dyDescent="0.25">
      <c r="A40" s="102" t="s">
        <v>988</v>
      </c>
      <c r="B40" s="184"/>
      <c r="C40" s="205">
        <f>C39+C21</f>
        <v>56744666</v>
      </c>
      <c r="D40" s="205">
        <f t="shared" ref="D40:L40" si="3">D39+D21</f>
        <v>34742330.520000003</v>
      </c>
      <c r="E40" s="206">
        <f t="shared" si="3"/>
        <v>46508203</v>
      </c>
      <c r="F40" s="207">
        <f t="shared" si="3"/>
        <v>70815213</v>
      </c>
      <c r="G40" s="208">
        <f t="shared" si="3"/>
        <v>68454956</v>
      </c>
      <c r="H40" s="206">
        <f t="shared" si="3"/>
        <v>68454956</v>
      </c>
      <c r="I40" s="209">
        <f t="shared" si="3"/>
        <v>68454956</v>
      </c>
      <c r="J40" s="207">
        <f t="shared" si="3"/>
        <v>65507957.5</v>
      </c>
      <c r="K40" s="208">
        <f t="shared" si="3"/>
        <v>68937414.950000003</v>
      </c>
      <c r="L40" s="206">
        <f t="shared" si="3"/>
        <v>73830919.849999994</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1189</v>
      </c>
      <c r="B42" s="171"/>
      <c r="C42" s="202"/>
      <c r="D42" s="202"/>
      <c r="E42" s="71"/>
      <c r="F42" s="72"/>
      <c r="G42" s="70"/>
      <c r="H42" s="71"/>
      <c r="I42" s="69"/>
      <c r="J42" s="1130"/>
      <c r="K42" s="70"/>
      <c r="L42" s="1131"/>
      <c r="M42" s="247"/>
    </row>
    <row r="43" spans="1:18" ht="11.25" customHeight="1" x14ac:dyDescent="0.25">
      <c r="A43" s="1128" t="s">
        <v>1081</v>
      </c>
      <c r="B43" s="1045"/>
      <c r="C43" s="990">
        <f>SUM(C44:C46)</f>
        <v>1800000</v>
      </c>
      <c r="D43" s="990">
        <f t="shared" ref="D43:L43" si="4">SUM(D44:D46)</f>
        <v>1217854.19</v>
      </c>
      <c r="E43" s="1263">
        <f t="shared" si="4"/>
        <v>177182</v>
      </c>
      <c r="F43" s="994">
        <f t="shared" si="4"/>
        <v>1513874</v>
      </c>
      <c r="G43" s="990">
        <f t="shared" si="4"/>
        <v>1013874</v>
      </c>
      <c r="H43" s="1264">
        <f t="shared" si="4"/>
        <v>1013874</v>
      </c>
      <c r="I43" s="993">
        <f t="shared" si="4"/>
        <v>1013874</v>
      </c>
      <c r="J43" s="994">
        <f t="shared" si="4"/>
        <v>1771600</v>
      </c>
      <c r="K43" s="990">
        <f t="shared" si="4"/>
        <v>1029896</v>
      </c>
      <c r="L43" s="1264">
        <f t="shared" si="4"/>
        <v>1091689.76</v>
      </c>
      <c r="M43" s="247"/>
      <c r="Q43" s="130"/>
      <c r="R43" s="131"/>
    </row>
    <row r="44" spans="1:18" ht="11.25" customHeight="1" x14ac:dyDescent="0.25">
      <c r="A44" s="1129" t="s">
        <v>142</v>
      </c>
      <c r="B44" s="1045"/>
      <c r="C44" s="2088">
        <v>800000</v>
      </c>
      <c r="D44" s="2088"/>
      <c r="E44" s="2106"/>
      <c r="F44" s="2107"/>
      <c r="G44" s="2088"/>
      <c r="H44" s="2108"/>
      <c r="I44" s="2107"/>
      <c r="J44" s="2090">
        <v>800000</v>
      </c>
      <c r="K44" s="2088"/>
      <c r="L44" s="2091"/>
      <c r="M44" s="247"/>
      <c r="Q44" s="130"/>
      <c r="R44" s="131"/>
    </row>
    <row r="45" spans="1:18" ht="11.25" customHeight="1" x14ac:dyDescent="0.25">
      <c r="A45" s="1129" t="s">
        <v>143</v>
      </c>
      <c r="B45" s="1045"/>
      <c r="C45" s="2110"/>
      <c r="D45" s="2110"/>
      <c r="E45" s="2113"/>
      <c r="F45" s="2114"/>
      <c r="G45" s="2110"/>
      <c r="H45" s="2115"/>
      <c r="I45" s="2114"/>
      <c r="J45" s="2116"/>
      <c r="K45" s="2110"/>
      <c r="L45" s="2111"/>
      <c r="M45" s="247"/>
      <c r="Q45" s="130"/>
      <c r="R45" s="131"/>
    </row>
    <row r="46" spans="1:18" ht="11.25" customHeight="1" x14ac:dyDescent="0.25">
      <c r="A46" s="1129" t="s">
        <v>144</v>
      </c>
      <c r="B46" s="1045"/>
      <c r="C46" s="2088">
        <v>1000000</v>
      </c>
      <c r="D46" s="2088">
        <v>1217854.19</v>
      </c>
      <c r="E46" s="2106">
        <v>177182</v>
      </c>
      <c r="F46" s="2107">
        <v>1513874</v>
      </c>
      <c r="G46" s="2088">
        <v>1013874</v>
      </c>
      <c r="H46" s="2108">
        <v>1013874</v>
      </c>
      <c r="I46" s="2107">
        <v>1013874</v>
      </c>
      <c r="J46" s="2090">
        <v>971600</v>
      </c>
      <c r="K46" s="2088">
        <v>1029896</v>
      </c>
      <c r="L46" s="2091">
        <v>1091689.76</v>
      </c>
      <c r="M46" s="247"/>
      <c r="Q46" s="130"/>
      <c r="R46" s="131"/>
    </row>
    <row r="47" spans="1:18" ht="11.25" customHeight="1" x14ac:dyDescent="0.25">
      <c r="A47" s="1128" t="s">
        <v>145</v>
      </c>
      <c r="B47" s="1045"/>
      <c r="C47" s="990">
        <f>SUM(C48:C52)</f>
        <v>14058000</v>
      </c>
      <c r="D47" s="990">
        <f t="shared" ref="D47:L47" si="5">SUM(D48:D52)</f>
        <v>10553750</v>
      </c>
      <c r="E47" s="991">
        <f t="shared" si="5"/>
        <v>3790588</v>
      </c>
      <c r="F47" s="992">
        <f t="shared" si="5"/>
        <v>6986339</v>
      </c>
      <c r="G47" s="990">
        <f t="shared" si="5"/>
        <v>7086082</v>
      </c>
      <c r="H47" s="993">
        <f t="shared" si="5"/>
        <v>7086082</v>
      </c>
      <c r="I47" s="992">
        <f t="shared" si="5"/>
        <v>7086082</v>
      </c>
      <c r="J47" s="994">
        <f t="shared" si="5"/>
        <v>5574000</v>
      </c>
      <c r="K47" s="990">
        <f t="shared" si="5"/>
        <v>5908440</v>
      </c>
      <c r="L47" s="1264">
        <f t="shared" si="5"/>
        <v>6262946</v>
      </c>
      <c r="M47" s="247"/>
      <c r="Q47" s="130"/>
      <c r="R47" s="131"/>
    </row>
    <row r="48" spans="1:18" ht="11.25" customHeight="1" x14ac:dyDescent="0.25">
      <c r="A48" s="1129" t="s">
        <v>146</v>
      </c>
      <c r="B48" s="1045"/>
      <c r="C48" s="2088">
        <v>2210000</v>
      </c>
      <c r="D48" s="2088">
        <v>3980700</v>
      </c>
      <c r="E48" s="2106">
        <v>3506810</v>
      </c>
      <c r="F48" s="2107">
        <v>3536339</v>
      </c>
      <c r="G48" s="2088">
        <v>2819839</v>
      </c>
      <c r="H48" s="2108">
        <v>2819839</v>
      </c>
      <c r="I48" s="2107">
        <v>2819839</v>
      </c>
      <c r="J48" s="2090">
        <v>2300000</v>
      </c>
      <c r="K48" s="2088">
        <v>2438000</v>
      </c>
      <c r="L48" s="2091">
        <v>2584280</v>
      </c>
      <c r="M48" s="247"/>
      <c r="Q48" s="130"/>
      <c r="R48" s="131"/>
    </row>
    <row r="49" spans="1:18" ht="11.25" customHeight="1" x14ac:dyDescent="0.25">
      <c r="A49" s="1129" t="s">
        <v>147</v>
      </c>
      <c r="B49" s="1045"/>
      <c r="C49" s="2088"/>
      <c r="D49" s="2088"/>
      <c r="E49" s="2106"/>
      <c r="F49" s="2107"/>
      <c r="G49" s="2088"/>
      <c r="H49" s="2108"/>
      <c r="I49" s="2107"/>
      <c r="J49" s="2090">
        <v>250000</v>
      </c>
      <c r="K49" s="2088">
        <v>265000</v>
      </c>
      <c r="L49" s="2091">
        <v>280900</v>
      </c>
      <c r="M49" s="247"/>
      <c r="Q49" s="130"/>
      <c r="R49" s="131"/>
    </row>
    <row r="50" spans="1:18" ht="11.25" customHeight="1" x14ac:dyDescent="0.25">
      <c r="A50" s="1129" t="s">
        <v>148</v>
      </c>
      <c r="B50" s="1045"/>
      <c r="C50" s="2088">
        <v>3615000</v>
      </c>
      <c r="D50" s="2088">
        <v>1736050</v>
      </c>
      <c r="E50" s="2106">
        <v>283778</v>
      </c>
      <c r="F50" s="2107">
        <v>3450000</v>
      </c>
      <c r="G50" s="2088">
        <v>4266243</v>
      </c>
      <c r="H50" s="2088">
        <v>4266243</v>
      </c>
      <c r="I50" s="2088">
        <v>4266243</v>
      </c>
      <c r="J50" s="2090">
        <f>1534000+690000</f>
        <v>2224000</v>
      </c>
      <c r="K50" s="2088">
        <f>1626040+731400</f>
        <v>2357440</v>
      </c>
      <c r="L50" s="2091">
        <f>1723602+775284</f>
        <v>2498886</v>
      </c>
      <c r="M50" s="247"/>
      <c r="Q50" s="130"/>
      <c r="R50" s="131"/>
    </row>
    <row r="51" spans="1:18" ht="11.25" customHeight="1" x14ac:dyDescent="0.25">
      <c r="A51" s="1129" t="s">
        <v>1626</v>
      </c>
      <c r="B51" s="1045"/>
      <c r="C51" s="2088">
        <v>8233000</v>
      </c>
      <c r="D51" s="2088">
        <v>4837000</v>
      </c>
      <c r="E51" s="2106"/>
      <c r="F51" s="2107"/>
      <c r="G51" s="2088"/>
      <c r="H51" s="2108"/>
      <c r="I51" s="2107"/>
      <c r="J51" s="2090">
        <v>800000</v>
      </c>
      <c r="K51" s="2088">
        <v>848000</v>
      </c>
      <c r="L51" s="2091">
        <v>898880</v>
      </c>
      <c r="M51" s="247"/>
      <c r="Q51" s="130"/>
      <c r="R51" s="131"/>
    </row>
    <row r="52" spans="1:18" ht="11.25" customHeight="1" x14ac:dyDescent="0.25">
      <c r="A52" s="1129" t="s">
        <v>1699</v>
      </c>
      <c r="B52" s="1045"/>
      <c r="C52" s="2110"/>
      <c r="D52" s="2110"/>
      <c r="E52" s="2113"/>
      <c r="F52" s="2114"/>
      <c r="G52" s="2110"/>
      <c r="H52" s="2115"/>
      <c r="I52" s="2114"/>
      <c r="J52" s="2116"/>
      <c r="K52" s="2110"/>
      <c r="L52" s="2111"/>
      <c r="M52" s="247"/>
      <c r="Q52" s="130"/>
      <c r="R52" s="131"/>
    </row>
    <row r="53" spans="1:18" ht="11.25" customHeight="1" x14ac:dyDescent="0.25">
      <c r="A53" s="1128" t="s">
        <v>149</v>
      </c>
      <c r="B53" s="989"/>
      <c r="C53" s="990">
        <f>SUM(C54:C56)</f>
        <v>30720000</v>
      </c>
      <c r="D53" s="990">
        <f t="shared" ref="D53:L53" si="6">SUM(D54:D56)</f>
        <v>21196290.100000001</v>
      </c>
      <c r="E53" s="991">
        <f t="shared" si="6"/>
        <v>39807216</v>
      </c>
      <c r="F53" s="992">
        <f t="shared" si="6"/>
        <v>62315000</v>
      </c>
      <c r="G53" s="990">
        <f t="shared" si="6"/>
        <v>60355000</v>
      </c>
      <c r="H53" s="993">
        <f t="shared" si="6"/>
        <v>60355000</v>
      </c>
      <c r="I53" s="992">
        <f t="shared" si="6"/>
        <v>60355000</v>
      </c>
      <c r="J53" s="994">
        <f t="shared" si="6"/>
        <v>51417000</v>
      </c>
      <c r="K53" s="990">
        <f t="shared" si="6"/>
        <v>54849000</v>
      </c>
      <c r="L53" s="1264">
        <f t="shared" si="6"/>
        <v>58897200</v>
      </c>
      <c r="M53" s="247"/>
      <c r="Q53" s="130"/>
      <c r="R53" s="131"/>
    </row>
    <row r="54" spans="1:18" ht="11.25" customHeight="1" x14ac:dyDescent="0.25">
      <c r="A54" s="1129" t="s">
        <v>150</v>
      </c>
      <c r="B54" s="1045"/>
      <c r="C54" s="2088"/>
      <c r="D54" s="2088"/>
      <c r="E54" s="2106"/>
      <c r="F54" s="2107"/>
      <c r="G54" s="2088"/>
      <c r="H54" s="2108"/>
      <c r="I54" s="2107"/>
      <c r="J54" s="2090"/>
      <c r="K54" s="2088"/>
      <c r="L54" s="2091"/>
      <c r="M54" s="247"/>
      <c r="Q54" s="130"/>
      <c r="R54" s="131"/>
    </row>
    <row r="55" spans="1:18" ht="11.25" customHeight="1" x14ac:dyDescent="0.25">
      <c r="A55" s="1129" t="s">
        <v>151</v>
      </c>
      <c r="B55" s="1045"/>
      <c r="C55" s="2088">
        <v>30720000</v>
      </c>
      <c r="D55" s="2088">
        <v>21196290.100000001</v>
      </c>
      <c r="E55" s="2106">
        <v>39807216</v>
      </c>
      <c r="F55" s="2107">
        <v>62315000</v>
      </c>
      <c r="G55" s="2088">
        <v>60355000</v>
      </c>
      <c r="H55" s="2108">
        <v>60355000</v>
      </c>
      <c r="I55" s="2107">
        <v>60355000</v>
      </c>
      <c r="J55" s="2090">
        <f>31917000+19500000</f>
        <v>51417000</v>
      </c>
      <c r="K55" s="2088">
        <f>34179000+20670000</f>
        <v>54849000</v>
      </c>
      <c r="L55" s="2091">
        <f>36987000+21910200</f>
        <v>58897200</v>
      </c>
      <c r="M55" s="247"/>
      <c r="Q55" s="130"/>
      <c r="R55" s="131"/>
    </row>
    <row r="56" spans="1:18" ht="11.25" customHeight="1" x14ac:dyDescent="0.25">
      <c r="A56" s="1129" t="s">
        <v>152</v>
      </c>
      <c r="B56" s="1045"/>
      <c r="C56" s="2088"/>
      <c r="D56" s="2088"/>
      <c r="E56" s="2106"/>
      <c r="F56" s="2107"/>
      <c r="G56" s="2088"/>
      <c r="H56" s="2108"/>
      <c r="I56" s="2107"/>
      <c r="J56" s="2090"/>
      <c r="K56" s="2088"/>
      <c r="L56" s="2091"/>
      <c r="M56" s="247"/>
      <c r="Q56" s="130"/>
      <c r="R56" s="131"/>
    </row>
    <row r="57" spans="1:18" ht="11.25" customHeight="1" x14ac:dyDescent="0.25">
      <c r="A57" s="1128" t="s">
        <v>153</v>
      </c>
      <c r="B57" s="989"/>
      <c r="C57" s="990">
        <f>SUM(C58:C61)</f>
        <v>3250000</v>
      </c>
      <c r="D57" s="990">
        <f t="shared" ref="D57:L57" si="7">SUM(D58:D61)</f>
        <v>1774414.53</v>
      </c>
      <c r="E57" s="991">
        <f t="shared" si="7"/>
        <v>680979</v>
      </c>
      <c r="F57" s="992">
        <f t="shared" si="7"/>
        <v>0</v>
      </c>
      <c r="G57" s="990">
        <f t="shared" si="7"/>
        <v>0</v>
      </c>
      <c r="H57" s="993">
        <f t="shared" si="7"/>
        <v>0</v>
      </c>
      <c r="I57" s="992">
        <f t="shared" si="7"/>
        <v>0</v>
      </c>
      <c r="J57" s="994">
        <f t="shared" si="7"/>
        <v>6745358</v>
      </c>
      <c r="K57" s="990">
        <f t="shared" si="7"/>
        <v>7150079</v>
      </c>
      <c r="L57" s="1264">
        <f t="shared" si="7"/>
        <v>7579084</v>
      </c>
      <c r="M57" s="247"/>
      <c r="Q57" s="130"/>
      <c r="R57" s="131"/>
    </row>
    <row r="58" spans="1:18" ht="11.25" customHeight="1" x14ac:dyDescent="0.25">
      <c r="A58" s="1129" t="s">
        <v>612</v>
      </c>
      <c r="B58" s="1045"/>
      <c r="C58" s="2088">
        <v>2400000</v>
      </c>
      <c r="D58" s="2088">
        <v>1084847.23</v>
      </c>
      <c r="E58" s="2106"/>
      <c r="F58" s="2107"/>
      <c r="G58" s="2088"/>
      <c r="H58" s="2108"/>
      <c r="I58" s="2107"/>
      <c r="J58" s="2090">
        <v>5425358</v>
      </c>
      <c r="K58" s="2088">
        <v>5750879</v>
      </c>
      <c r="L58" s="2091">
        <v>6095932</v>
      </c>
      <c r="M58" s="247"/>
      <c r="Q58" s="130"/>
      <c r="R58" s="131"/>
    </row>
    <row r="59" spans="1:18" ht="11.25" customHeight="1" x14ac:dyDescent="0.25">
      <c r="A59" s="1129" t="s">
        <v>908</v>
      </c>
      <c r="B59" s="1045"/>
      <c r="C59" s="2088"/>
      <c r="D59" s="2088"/>
      <c r="E59" s="2106"/>
      <c r="F59" s="2107"/>
      <c r="G59" s="2088"/>
      <c r="H59" s="2108"/>
      <c r="I59" s="2107"/>
      <c r="J59" s="2090"/>
      <c r="K59" s="2088"/>
      <c r="L59" s="2091"/>
      <c r="M59" s="247"/>
      <c r="Q59" s="130"/>
      <c r="R59" s="131"/>
    </row>
    <row r="60" spans="1:18" ht="11.25" customHeight="1" x14ac:dyDescent="0.25">
      <c r="A60" s="1129" t="s">
        <v>1083</v>
      </c>
      <c r="B60" s="1045"/>
      <c r="C60" s="2110"/>
      <c r="D60" s="2110"/>
      <c r="E60" s="2113"/>
      <c r="F60" s="2114"/>
      <c r="G60" s="2110"/>
      <c r="H60" s="2115"/>
      <c r="I60" s="2114"/>
      <c r="J60" s="2116"/>
      <c r="K60" s="2110"/>
      <c r="L60" s="2111"/>
      <c r="M60" s="247"/>
      <c r="Q60" s="130"/>
      <c r="R60" s="131"/>
    </row>
    <row r="61" spans="1:18" ht="11.25" customHeight="1" x14ac:dyDescent="0.25">
      <c r="A61" s="1129" t="s">
        <v>1084</v>
      </c>
      <c r="B61" s="1045"/>
      <c r="C61" s="2088">
        <v>850000</v>
      </c>
      <c r="D61" s="2088">
        <v>689567.3</v>
      </c>
      <c r="E61" s="2106">
        <v>680979</v>
      </c>
      <c r="F61" s="2107"/>
      <c r="G61" s="2088"/>
      <c r="H61" s="2108"/>
      <c r="I61" s="2107"/>
      <c r="J61" s="2090">
        <v>1320000</v>
      </c>
      <c r="K61" s="2088">
        <v>1399200</v>
      </c>
      <c r="L61" s="2091">
        <v>1483152</v>
      </c>
      <c r="M61" s="247"/>
      <c r="Q61" s="130"/>
      <c r="R61" s="131"/>
    </row>
    <row r="62" spans="1:18" ht="11.25" customHeight="1" x14ac:dyDescent="0.25">
      <c r="A62" s="1128" t="s">
        <v>276</v>
      </c>
      <c r="B62" s="989"/>
      <c r="C62" s="2121">
        <v>6917000</v>
      </c>
      <c r="D62" s="2121"/>
      <c r="E62" s="2122">
        <v>2052238</v>
      </c>
      <c r="F62" s="2123"/>
      <c r="G62" s="2121"/>
      <c r="H62" s="1457"/>
      <c r="I62" s="2123"/>
      <c r="J62" s="2124"/>
      <c r="K62" s="2125"/>
      <c r="L62" s="2126"/>
      <c r="M62" s="247"/>
      <c r="Q62" s="130"/>
      <c r="R62" s="131"/>
    </row>
    <row r="63" spans="1:18" x14ac:dyDescent="0.25">
      <c r="A63" s="210" t="s">
        <v>1190</v>
      </c>
      <c r="B63" s="184">
        <v>3</v>
      </c>
      <c r="C63" s="105">
        <f>C43+C47+C53+C57+C62</f>
        <v>56745000</v>
      </c>
      <c r="D63" s="105">
        <f t="shared" ref="D63:K63" si="8">D43+D47+D53+D57+D62</f>
        <v>34742308.82</v>
      </c>
      <c r="E63" s="230">
        <f t="shared" si="8"/>
        <v>46508203</v>
      </c>
      <c r="F63" s="231">
        <f t="shared" si="8"/>
        <v>70815213</v>
      </c>
      <c r="G63" s="105">
        <f t="shared" si="8"/>
        <v>68454956</v>
      </c>
      <c r="H63" s="230">
        <f t="shared" si="8"/>
        <v>68454956</v>
      </c>
      <c r="I63" s="104">
        <f t="shared" si="8"/>
        <v>68454956</v>
      </c>
      <c r="J63" s="231">
        <f t="shared" si="8"/>
        <v>65507958</v>
      </c>
      <c r="K63" s="105">
        <f t="shared" si="8"/>
        <v>68937415</v>
      </c>
      <c r="L63" s="230">
        <f>L43+L47+L53+L57+L62</f>
        <v>73830919.75999999</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1484</v>
      </c>
      <c r="B66" s="171"/>
      <c r="C66" s="2088">
        <v>27406237.710000001</v>
      </c>
      <c r="D66" s="2088">
        <v>17905587.59</v>
      </c>
      <c r="E66" s="2108">
        <v>31583815</v>
      </c>
      <c r="F66" s="2107">
        <v>32405000</v>
      </c>
      <c r="G66" s="2088">
        <v>32855000</v>
      </c>
      <c r="H66" s="2088">
        <v>32855000</v>
      </c>
      <c r="I66" s="2088">
        <v>32855000</v>
      </c>
      <c r="J66" s="2107">
        <v>30400000</v>
      </c>
      <c r="K66" s="2088">
        <v>32570980</v>
      </c>
      <c r="L66" s="2106">
        <v>35282498.799999997</v>
      </c>
      <c r="M66" s="247"/>
    </row>
    <row r="67" spans="1:13" ht="11.25" customHeight="1" x14ac:dyDescent="0.25">
      <c r="A67" s="295" t="s">
        <v>518</v>
      </c>
      <c r="B67" s="171"/>
      <c r="C67" s="2110"/>
      <c r="D67" s="2088"/>
      <c r="E67" s="2108"/>
      <c r="F67" s="2107"/>
      <c r="G67" s="2088"/>
      <c r="H67" s="2106"/>
      <c r="I67" s="2108"/>
      <c r="J67" s="2107"/>
      <c r="K67" s="2088"/>
      <c r="L67" s="2106"/>
      <c r="M67" s="247"/>
    </row>
    <row r="68" spans="1:13" ht="11.25" customHeight="1" x14ac:dyDescent="0.25">
      <c r="A68" s="295" t="s">
        <v>519</v>
      </c>
      <c r="B68" s="171"/>
      <c r="C68" s="2110"/>
      <c r="D68" s="2110"/>
      <c r="E68" s="2110"/>
      <c r="F68" s="2114"/>
      <c r="G68" s="2110"/>
      <c r="H68" s="2113"/>
      <c r="I68" s="2108"/>
      <c r="J68" s="2114"/>
      <c r="K68" s="2110"/>
      <c r="L68" s="2113"/>
      <c r="M68" s="247"/>
    </row>
    <row r="69" spans="1:13" ht="11.25" customHeight="1" x14ac:dyDescent="0.25">
      <c r="A69" s="1138" t="s">
        <v>989</v>
      </c>
      <c r="B69" s="171"/>
      <c r="C69" s="2110"/>
      <c r="D69" s="2110"/>
      <c r="E69" s="2115"/>
      <c r="F69" s="2114"/>
      <c r="G69" s="2110"/>
      <c r="H69" s="2113"/>
      <c r="I69" s="2107"/>
      <c r="J69" s="2114"/>
      <c r="K69" s="2110"/>
      <c r="L69" s="2113"/>
      <c r="M69" s="247"/>
    </row>
    <row r="70" spans="1:13" ht="11.25" customHeight="1" x14ac:dyDescent="0.25">
      <c r="A70" s="1399" t="s">
        <v>1291</v>
      </c>
      <c r="B70" s="171">
        <v>4</v>
      </c>
      <c r="C70" s="91">
        <f t="shared" ref="C70:L70" si="9">SUM(C66:C69)</f>
        <v>27406237.710000001</v>
      </c>
      <c r="D70" s="91">
        <f t="shared" si="9"/>
        <v>17905587.59</v>
      </c>
      <c r="E70" s="90">
        <f t="shared" si="9"/>
        <v>31583815</v>
      </c>
      <c r="F70" s="93">
        <f t="shared" si="9"/>
        <v>32405000</v>
      </c>
      <c r="G70" s="91">
        <f t="shared" si="9"/>
        <v>32855000</v>
      </c>
      <c r="H70" s="92">
        <f t="shared" si="9"/>
        <v>32855000</v>
      </c>
      <c r="I70" s="90">
        <f t="shared" si="9"/>
        <v>32855000</v>
      </c>
      <c r="J70" s="93">
        <f t="shared" si="9"/>
        <v>30400000</v>
      </c>
      <c r="K70" s="91">
        <f t="shared" si="9"/>
        <v>32570980</v>
      </c>
      <c r="L70" s="92">
        <f t="shared" si="9"/>
        <v>35282498.799999997</v>
      </c>
      <c r="M70" s="1404"/>
    </row>
    <row r="71" spans="1:13" ht="11.25" customHeight="1" x14ac:dyDescent="0.25">
      <c r="A71" s="294" t="s">
        <v>434</v>
      </c>
      <c r="B71" s="171">
        <v>5</v>
      </c>
      <c r="C71" s="2110"/>
      <c r="D71" s="2088"/>
      <c r="E71" s="2108"/>
      <c r="F71" s="2107"/>
      <c r="G71" s="2088"/>
      <c r="H71" s="2106"/>
      <c r="I71" s="2108"/>
      <c r="J71" s="2107"/>
      <c r="K71" s="2088"/>
      <c r="L71" s="2106"/>
      <c r="M71" s="247"/>
    </row>
    <row r="72" spans="1:13" ht="11.25" customHeight="1" x14ac:dyDescent="0.25">
      <c r="A72" s="294" t="s">
        <v>1231</v>
      </c>
      <c r="B72" s="171">
        <v>6</v>
      </c>
      <c r="C72" s="2088"/>
      <c r="D72" s="2088"/>
      <c r="E72" s="2108"/>
      <c r="F72" s="2107"/>
      <c r="G72" s="2088"/>
      <c r="H72" s="2106"/>
      <c r="I72" s="2108"/>
      <c r="J72" s="2107"/>
      <c r="K72" s="2088"/>
      <c r="L72" s="2106"/>
      <c r="M72" s="247"/>
    </row>
    <row r="73" spans="1:13" ht="11.25" customHeight="1" x14ac:dyDescent="0.25">
      <c r="A73" s="294" t="s">
        <v>468</v>
      </c>
      <c r="B73" s="171"/>
      <c r="C73" s="2088">
        <v>29338762.289999999</v>
      </c>
      <c r="D73" s="2088">
        <v>16836721.23</v>
      </c>
      <c r="E73" s="2108">
        <v>14924388</v>
      </c>
      <c r="F73" s="2107">
        <v>38410213</v>
      </c>
      <c r="G73" s="2088">
        <v>35599956</v>
      </c>
      <c r="H73" s="2088">
        <v>35599956</v>
      </c>
      <c r="I73" s="2088">
        <v>35599956</v>
      </c>
      <c r="J73" s="2107">
        <v>35107957.5</v>
      </c>
      <c r="K73" s="2088">
        <v>36366434.950000003</v>
      </c>
      <c r="L73" s="2106">
        <v>38548421.049999997</v>
      </c>
      <c r="M73" s="247"/>
    </row>
    <row r="74" spans="1:13" x14ac:dyDescent="0.25">
      <c r="A74" s="102" t="s">
        <v>736</v>
      </c>
      <c r="B74" s="184">
        <v>7</v>
      </c>
      <c r="C74" s="108">
        <f t="shared" ref="C74:L74" si="10">SUM(C70:C73)</f>
        <v>56745000</v>
      </c>
      <c r="D74" s="108">
        <f t="shared" si="10"/>
        <v>34742308.82</v>
      </c>
      <c r="E74" s="109">
        <f t="shared" si="10"/>
        <v>46508203</v>
      </c>
      <c r="F74" s="107">
        <f t="shared" si="10"/>
        <v>70815213</v>
      </c>
      <c r="G74" s="108">
        <f t="shared" si="10"/>
        <v>68454956</v>
      </c>
      <c r="H74" s="106">
        <f t="shared" si="10"/>
        <v>68454956</v>
      </c>
      <c r="I74" s="109">
        <f t="shared" si="10"/>
        <v>68454956</v>
      </c>
      <c r="J74" s="107">
        <f t="shared" si="10"/>
        <v>65507957.5</v>
      </c>
      <c r="K74" s="108">
        <f t="shared" si="10"/>
        <v>68937414.950000003</v>
      </c>
      <c r="L74" s="106">
        <f t="shared" si="10"/>
        <v>73830919.849999994</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72" t="s">
        <v>990</v>
      </c>
      <c r="B77" s="2672"/>
      <c r="C77" s="2672"/>
      <c r="D77" s="2672"/>
      <c r="E77" s="2672"/>
      <c r="F77" s="2672"/>
      <c r="G77" s="2672"/>
      <c r="H77" s="2672"/>
      <c r="I77" s="2672"/>
      <c r="J77" s="2672"/>
      <c r="K77" s="2672"/>
      <c r="L77" s="2672"/>
      <c r="M77" s="946"/>
    </row>
    <row r="78" spans="1:13" s="586" customFormat="1" ht="12" customHeight="1" x14ac:dyDescent="0.25">
      <c r="A78" s="2672" t="s">
        <v>991</v>
      </c>
      <c r="B78" s="2672"/>
      <c r="C78" s="2672"/>
      <c r="D78" s="2672"/>
      <c r="E78" s="2672"/>
      <c r="F78" s="2672"/>
      <c r="G78" s="2672"/>
      <c r="H78" s="2672"/>
      <c r="I78" s="2672"/>
      <c r="J78" s="2672"/>
      <c r="K78" s="2672"/>
      <c r="L78" s="2672"/>
      <c r="M78" s="946"/>
    </row>
    <row r="79" spans="1:13" s="586" customFormat="1" ht="12" customHeight="1" x14ac:dyDescent="0.25">
      <c r="A79" s="2673" t="s">
        <v>992</v>
      </c>
      <c r="B79" s="2673"/>
      <c r="C79" s="2673"/>
      <c r="D79" s="2673"/>
      <c r="E79" s="2673"/>
      <c r="F79" s="2673"/>
      <c r="G79" s="2673"/>
      <c r="H79" s="2673"/>
      <c r="I79" s="2673"/>
      <c r="J79" s="2673"/>
      <c r="K79" s="2673"/>
      <c r="L79" s="2673"/>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993</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71" t="s">
        <v>1389</v>
      </c>
      <c r="B83" s="2671"/>
      <c r="C83" s="2671"/>
      <c r="D83" s="2671"/>
      <c r="E83" s="2671"/>
      <c r="F83" s="2671"/>
      <c r="G83" s="2671"/>
      <c r="H83" s="2671"/>
      <c r="I83" s="2671"/>
      <c r="J83" s="2671"/>
      <c r="K83" s="2671"/>
      <c r="L83" s="2671"/>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t="str">
        <f t="shared" si="11"/>
        <v>Unbalanced</v>
      </c>
      <c r="K85" s="216" t="str">
        <f t="shared" si="11"/>
        <v>Unbalanced</v>
      </c>
      <c r="L85" s="216" t="str">
        <f t="shared" si="11"/>
        <v>Unbalanced</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Y342"/>
  <sheetViews>
    <sheetView showGridLines="0" showZeros="0" zoomScaleNormal="100" workbookViewId="0">
      <pane xSplit="25" ySplit="16" topLeftCell="Z338" activePane="bottomRight" state="frozen"/>
      <selection pane="topRight" activeCell="Z1" sqref="Z1"/>
      <selection pane="bottomLeft" activeCell="A17" sqref="A17"/>
      <selection pane="bottomRight" activeCell="N354" sqref="N35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LIM471 Ephraim Mogale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c r="N2" s="2674" t="str">
        <f>"Multi-year appropriation for "&amp;Head9&amp;
"
 in the "&amp;Head2A&amp;" Annual Budget"</f>
        <v>Multi-year appropriation for Budget Year 2016/17
 in the 2015/16 Annual Budget</v>
      </c>
      <c r="O2" s="2651"/>
      <c r="P2" s="2651"/>
      <c r="Q2" s="2652"/>
      <c r="R2" s="2674" t="str">
        <f>"Multi-year appropriation for "&amp;RIGHT(Head10,7)&amp;
"
 in the "&amp;Head2A&amp;" Annual Budget"</f>
        <v>Multi-year appropriation for 2017/18
 in the 2015/16 Annual Budget</v>
      </c>
      <c r="S2" s="2651"/>
      <c r="T2" s="2651"/>
      <c r="U2" s="2652"/>
      <c r="V2" s="2650" t="s">
        <v>2115</v>
      </c>
      <c r="W2" s="2651"/>
      <c r="X2" s="2652"/>
    </row>
    <row r="3" spans="1:24" ht="38.2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2116</v>
      </c>
      <c r="R3" s="177" t="str">
        <f>"Appropriation for "&amp;RIGHT(Head9,7)</f>
        <v>Appropriation for 2016/17</v>
      </c>
      <c r="S3" s="267" t="str">
        <f>"Adjustments in "&amp;Head2A</f>
        <v>Adjustments in 2015/16</v>
      </c>
      <c r="T3" s="268" t="str">
        <f>"Downward adjustments for "&amp;RIGHT(Head9,7)</f>
        <v>Downward adjustments for 2016/17</v>
      </c>
      <c r="U3" s="1667" t="s">
        <v>2116</v>
      </c>
      <c r="V3" s="266" t="str">
        <f>Head9</f>
        <v>Budget Year 2016/17</v>
      </c>
      <c r="W3" s="267" t="str">
        <f>Head10</f>
        <v>Budget Year +1 2017/18</v>
      </c>
      <c r="X3" s="268" t="str">
        <f>Head11</f>
        <v>Budget Year +2 2018/19</v>
      </c>
    </row>
    <row r="4" spans="1:24" x14ac:dyDescent="0.25">
      <c r="A4" s="59" t="s">
        <v>1715</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EXECUTIVE AND COUNCIL</v>
      </c>
      <c r="B6" s="854"/>
      <c r="C6" s="849">
        <f>SUM(C7:C16)</f>
        <v>0</v>
      </c>
      <c r="D6" s="849">
        <f t="shared" ref="D6:L6" si="0">SUM(D7:D16)</f>
        <v>0</v>
      </c>
      <c r="E6" s="850">
        <f t="shared" si="0"/>
        <v>0</v>
      </c>
      <c r="F6" s="851">
        <f t="shared" si="0"/>
        <v>0</v>
      </c>
      <c r="G6" s="849">
        <f t="shared" si="0"/>
        <v>0</v>
      </c>
      <c r="H6" s="850">
        <f t="shared" si="0"/>
        <v>0</v>
      </c>
      <c r="I6" s="816">
        <f>SUM(I7:I16)</f>
        <v>0</v>
      </c>
      <c r="J6" s="853">
        <f t="shared" si="0"/>
        <v>0</v>
      </c>
      <c r="K6" s="849">
        <f t="shared" si="0"/>
        <v>0</v>
      </c>
      <c r="L6" s="1893">
        <f t="shared" si="0"/>
        <v>0</v>
      </c>
      <c r="M6" s="1030"/>
      <c r="N6" s="851">
        <f t="shared" ref="N6:U6" si="1">SUM(N7:N16)</f>
        <v>0</v>
      </c>
      <c r="O6" s="849">
        <f t="shared" si="1"/>
        <v>0</v>
      </c>
      <c r="P6" s="850">
        <f t="shared" si="1"/>
        <v>0</v>
      </c>
      <c r="Q6" s="850">
        <f t="shared" si="1"/>
        <v>0</v>
      </c>
      <c r="R6" s="851">
        <f t="shared" si="1"/>
        <v>0</v>
      </c>
      <c r="S6" s="849">
        <f t="shared" si="1"/>
        <v>0</v>
      </c>
      <c r="T6" s="1891">
        <f t="shared" si="1"/>
        <v>0</v>
      </c>
      <c r="U6" s="1887">
        <f t="shared" si="1"/>
        <v>0</v>
      </c>
      <c r="V6" s="852">
        <f>SUM(V7:V16)</f>
        <v>0</v>
      </c>
      <c r="W6" s="849">
        <f>SUM(W7:W16)</f>
        <v>0</v>
      </c>
      <c r="X6" s="1893">
        <f>SUM(X7:X16)</f>
        <v>0</v>
      </c>
    </row>
    <row r="7" spans="1:24" ht="11.25" customHeight="1" x14ac:dyDescent="0.25">
      <c r="A7" s="1028" t="str">
        <f>'Org structure'!E3</f>
        <v>1.1 - COUNCIL GENERAL</v>
      </c>
      <c r="B7" s="171"/>
      <c r="C7" s="1454"/>
      <c r="D7" s="1454"/>
      <c r="E7" s="2106"/>
      <c r="F7" s="2104"/>
      <c r="G7" s="1454"/>
      <c r="H7" s="2103"/>
      <c r="I7" s="1455"/>
      <c r="J7" s="1894">
        <f>Q7+V7</f>
        <v>0</v>
      </c>
      <c r="K7" s="815">
        <f>U7+W7</f>
        <v>0</v>
      </c>
      <c r="L7" s="1895">
        <f>X7</f>
        <v>0</v>
      </c>
      <c r="M7" s="1029"/>
      <c r="N7" s="2104"/>
      <c r="O7" s="1454"/>
      <c r="P7" s="2103"/>
      <c r="Q7" s="851">
        <f>SUM(N7:P7)</f>
        <v>0</v>
      </c>
      <c r="R7" s="2104"/>
      <c r="S7" s="1454"/>
      <c r="T7" s="1455"/>
      <c r="U7" s="1887">
        <f>SUM(R7:T7)</f>
        <v>0</v>
      </c>
      <c r="V7" s="1455"/>
      <c r="W7" s="1454"/>
      <c r="X7" s="1456"/>
    </row>
    <row r="8" spans="1:24" ht="11.25" customHeight="1" x14ac:dyDescent="0.25">
      <c r="A8" s="1028">
        <f>'Org structure'!E4</f>
        <v>0</v>
      </c>
      <c r="B8" s="171"/>
      <c r="C8" s="1454"/>
      <c r="D8" s="1454"/>
      <c r="E8" s="2103"/>
      <c r="F8" s="2104"/>
      <c r="G8" s="1454"/>
      <c r="H8" s="2103"/>
      <c r="I8" s="1455"/>
      <c r="J8" s="1894">
        <f>Q8+V8</f>
        <v>0</v>
      </c>
      <c r="K8" s="815">
        <f>U8+W8</f>
        <v>0</v>
      </c>
      <c r="L8" s="1895">
        <f t="shared" ref="L8:L16" si="2">X8</f>
        <v>0</v>
      </c>
      <c r="M8" s="1029"/>
      <c r="N8" s="2104"/>
      <c r="O8" s="1454"/>
      <c r="P8" s="2103"/>
      <c r="Q8" s="851">
        <f t="shared" ref="Q8:Q16" si="3">SUM(N8:P8)</f>
        <v>0</v>
      </c>
      <c r="R8" s="2104"/>
      <c r="S8" s="1454"/>
      <c r="T8" s="1455"/>
      <c r="U8" s="1887">
        <f t="shared" ref="U8:U71" si="4">SUM(R8:T8)</f>
        <v>0</v>
      </c>
      <c r="V8" s="1455"/>
      <c r="W8" s="1454"/>
      <c r="X8" s="1456"/>
    </row>
    <row r="9" spans="1:24" ht="11.25" customHeight="1" x14ac:dyDescent="0.25">
      <c r="A9" s="1028">
        <f>'Org structure'!E5</f>
        <v>0</v>
      </c>
      <c r="B9" s="171"/>
      <c r="C9" s="1454"/>
      <c r="D9" s="1454"/>
      <c r="E9" s="2103"/>
      <c r="F9" s="2104"/>
      <c r="G9" s="1454"/>
      <c r="H9" s="2103"/>
      <c r="I9" s="1455"/>
      <c r="J9" s="1894">
        <f t="shared" ref="J9:J16" si="5">Q9+V9</f>
        <v>0</v>
      </c>
      <c r="K9" s="815">
        <f t="shared" ref="K9:K16" si="6">U9+W9</f>
        <v>0</v>
      </c>
      <c r="L9" s="1895">
        <f t="shared" si="2"/>
        <v>0</v>
      </c>
      <c r="M9" s="1029"/>
      <c r="N9" s="2104"/>
      <c r="O9" s="1454"/>
      <c r="P9" s="2103"/>
      <c r="Q9" s="851">
        <f t="shared" si="3"/>
        <v>0</v>
      </c>
      <c r="R9" s="2104"/>
      <c r="S9" s="1454"/>
      <c r="T9" s="1455"/>
      <c r="U9" s="1887">
        <f t="shared" si="4"/>
        <v>0</v>
      </c>
      <c r="V9" s="1455"/>
      <c r="W9" s="1454"/>
      <c r="X9" s="1456"/>
    </row>
    <row r="10" spans="1:24" ht="11.25" customHeight="1" x14ac:dyDescent="0.25">
      <c r="A10" s="1028">
        <f>'Org structure'!E6</f>
        <v>0</v>
      </c>
      <c r="B10" s="171"/>
      <c r="C10" s="1454"/>
      <c r="D10" s="1454"/>
      <c r="E10" s="2103"/>
      <c r="F10" s="2104"/>
      <c r="G10" s="1454"/>
      <c r="H10" s="2103"/>
      <c r="I10" s="1455"/>
      <c r="J10" s="1894">
        <f t="shared" si="5"/>
        <v>0</v>
      </c>
      <c r="K10" s="815">
        <f t="shared" si="6"/>
        <v>0</v>
      </c>
      <c r="L10" s="1895">
        <f t="shared" si="2"/>
        <v>0</v>
      </c>
      <c r="M10" s="1029"/>
      <c r="N10" s="2104"/>
      <c r="O10" s="1454"/>
      <c r="P10" s="2103"/>
      <c r="Q10" s="851">
        <f t="shared" si="3"/>
        <v>0</v>
      </c>
      <c r="R10" s="2104"/>
      <c r="S10" s="1454"/>
      <c r="T10" s="1455"/>
      <c r="U10" s="1887">
        <f t="shared" si="4"/>
        <v>0</v>
      </c>
      <c r="V10" s="1455"/>
      <c r="W10" s="1454"/>
      <c r="X10" s="1456"/>
    </row>
    <row r="11" spans="1:24" ht="11.25" customHeight="1" x14ac:dyDescent="0.25">
      <c r="A11" s="1028">
        <f>'Org structure'!E7</f>
        <v>0</v>
      </c>
      <c r="B11" s="171"/>
      <c r="C11" s="1454"/>
      <c r="D11" s="1454"/>
      <c r="E11" s="2103"/>
      <c r="F11" s="2104"/>
      <c r="G11" s="1454"/>
      <c r="H11" s="2103"/>
      <c r="I11" s="1455"/>
      <c r="J11" s="1894">
        <f t="shared" si="5"/>
        <v>0</v>
      </c>
      <c r="K11" s="815">
        <f t="shared" si="6"/>
        <v>0</v>
      </c>
      <c r="L11" s="1895">
        <f>X11</f>
        <v>0</v>
      </c>
      <c r="M11" s="1029"/>
      <c r="N11" s="2104"/>
      <c r="O11" s="1454"/>
      <c r="P11" s="2103"/>
      <c r="Q11" s="851">
        <f t="shared" si="3"/>
        <v>0</v>
      </c>
      <c r="R11" s="2104"/>
      <c r="S11" s="1454"/>
      <c r="T11" s="1455"/>
      <c r="U11" s="1887">
        <f t="shared" si="4"/>
        <v>0</v>
      </c>
      <c r="V11" s="1455"/>
      <c r="W11" s="1454"/>
      <c r="X11" s="1456"/>
    </row>
    <row r="12" spans="1:24" ht="11.25" customHeight="1" x14ac:dyDescent="0.25">
      <c r="A12" s="1028">
        <f>'Org structure'!E8</f>
        <v>0</v>
      </c>
      <c r="B12" s="171"/>
      <c r="C12" s="1454"/>
      <c r="D12" s="1454"/>
      <c r="E12" s="2103"/>
      <c r="F12" s="2104"/>
      <c r="G12" s="1454"/>
      <c r="H12" s="2103"/>
      <c r="I12" s="1455"/>
      <c r="J12" s="1894">
        <f t="shared" si="5"/>
        <v>0</v>
      </c>
      <c r="K12" s="815">
        <f t="shared" si="6"/>
        <v>0</v>
      </c>
      <c r="L12" s="1895">
        <f t="shared" si="2"/>
        <v>0</v>
      </c>
      <c r="M12" s="1029"/>
      <c r="N12" s="2104"/>
      <c r="O12" s="1454"/>
      <c r="P12" s="2103"/>
      <c r="Q12" s="851">
        <f t="shared" si="3"/>
        <v>0</v>
      </c>
      <c r="R12" s="2104"/>
      <c r="S12" s="1454"/>
      <c r="T12" s="1455"/>
      <c r="U12" s="1887">
        <f t="shared" si="4"/>
        <v>0</v>
      </c>
      <c r="V12" s="1455"/>
      <c r="W12" s="1454"/>
      <c r="X12" s="1456"/>
    </row>
    <row r="13" spans="1:24" ht="11.25" customHeight="1" x14ac:dyDescent="0.25">
      <c r="A13" s="1028">
        <f>'Org structure'!E9</f>
        <v>0</v>
      </c>
      <c r="B13" s="171"/>
      <c r="C13" s="1454"/>
      <c r="D13" s="1454"/>
      <c r="E13" s="2103"/>
      <c r="F13" s="2104"/>
      <c r="G13" s="1454"/>
      <c r="H13" s="2103"/>
      <c r="I13" s="1455"/>
      <c r="J13" s="1894">
        <f t="shared" si="5"/>
        <v>0</v>
      </c>
      <c r="K13" s="815">
        <f t="shared" si="6"/>
        <v>0</v>
      </c>
      <c r="L13" s="1895">
        <f t="shared" si="2"/>
        <v>0</v>
      </c>
      <c r="M13" s="1029"/>
      <c r="N13" s="2104"/>
      <c r="O13" s="1454"/>
      <c r="P13" s="2103"/>
      <c r="Q13" s="851">
        <f t="shared" si="3"/>
        <v>0</v>
      </c>
      <c r="R13" s="2104"/>
      <c r="S13" s="1454"/>
      <c r="T13" s="1455"/>
      <c r="U13" s="1887">
        <f t="shared" si="4"/>
        <v>0</v>
      </c>
      <c r="V13" s="1455"/>
      <c r="W13" s="1454"/>
      <c r="X13" s="1456"/>
    </row>
    <row r="14" spans="1:24" ht="11.25" customHeight="1" x14ac:dyDescent="0.25">
      <c r="A14" s="1028">
        <f>'Org structure'!E10</f>
        <v>0</v>
      </c>
      <c r="B14" s="171"/>
      <c r="C14" s="1454"/>
      <c r="D14" s="1454"/>
      <c r="E14" s="2103"/>
      <c r="F14" s="2104"/>
      <c r="G14" s="1454"/>
      <c r="H14" s="2103"/>
      <c r="I14" s="1455"/>
      <c r="J14" s="1894">
        <f t="shared" si="5"/>
        <v>0</v>
      </c>
      <c r="K14" s="815">
        <f t="shared" si="6"/>
        <v>0</v>
      </c>
      <c r="L14" s="1895">
        <f t="shared" si="2"/>
        <v>0</v>
      </c>
      <c r="M14" s="1029"/>
      <c r="N14" s="2104"/>
      <c r="O14" s="1454"/>
      <c r="P14" s="2103"/>
      <c r="Q14" s="851">
        <f t="shared" si="3"/>
        <v>0</v>
      </c>
      <c r="R14" s="2104"/>
      <c r="S14" s="1454"/>
      <c r="T14" s="1455"/>
      <c r="U14" s="1887">
        <f t="shared" si="4"/>
        <v>0</v>
      </c>
      <c r="V14" s="1455"/>
      <c r="W14" s="1454"/>
      <c r="X14" s="1456"/>
    </row>
    <row r="15" spans="1:24" ht="11.25" customHeight="1" x14ac:dyDescent="0.25">
      <c r="A15" s="1028">
        <f>'Org structure'!E11</f>
        <v>0</v>
      </c>
      <c r="B15" s="171"/>
      <c r="C15" s="1454"/>
      <c r="D15" s="1454"/>
      <c r="E15" s="2103"/>
      <c r="F15" s="2104"/>
      <c r="G15" s="1454"/>
      <c r="H15" s="2103"/>
      <c r="I15" s="1455"/>
      <c r="J15" s="1894">
        <f t="shared" si="5"/>
        <v>0</v>
      </c>
      <c r="K15" s="815">
        <f t="shared" si="6"/>
        <v>0</v>
      </c>
      <c r="L15" s="1895">
        <f t="shared" si="2"/>
        <v>0</v>
      </c>
      <c r="M15" s="1029"/>
      <c r="N15" s="2104"/>
      <c r="O15" s="1454"/>
      <c r="P15" s="2103"/>
      <c r="Q15" s="851">
        <f t="shared" si="3"/>
        <v>0</v>
      </c>
      <c r="R15" s="2104"/>
      <c r="S15" s="1454"/>
      <c r="T15" s="1455"/>
      <c r="U15" s="1887">
        <f t="shared" si="4"/>
        <v>0</v>
      </c>
      <c r="V15" s="1455"/>
      <c r="W15" s="1454"/>
      <c r="X15" s="1456"/>
    </row>
    <row r="16" spans="1:24" ht="11.25" customHeight="1" x14ac:dyDescent="0.25">
      <c r="A16" s="1028">
        <f>'Org structure'!E12</f>
        <v>0</v>
      </c>
      <c r="B16" s="171"/>
      <c r="C16" s="1454"/>
      <c r="D16" s="1454"/>
      <c r="E16" s="2103"/>
      <c r="F16" s="2104"/>
      <c r="G16" s="1454"/>
      <c r="H16" s="2103"/>
      <c r="I16" s="1455"/>
      <c r="J16" s="1894">
        <f t="shared" si="5"/>
        <v>0</v>
      </c>
      <c r="K16" s="815">
        <f t="shared" si="6"/>
        <v>0</v>
      </c>
      <c r="L16" s="1895">
        <f t="shared" si="2"/>
        <v>0</v>
      </c>
      <c r="M16" s="198"/>
      <c r="N16" s="2104"/>
      <c r="O16" s="1454"/>
      <c r="P16" s="2103"/>
      <c r="Q16" s="851">
        <f t="shared" si="3"/>
        <v>0</v>
      </c>
      <c r="R16" s="2104"/>
      <c r="S16" s="1454"/>
      <c r="T16" s="1455"/>
      <c r="U16" s="1887">
        <f t="shared" si="4"/>
        <v>0</v>
      </c>
      <c r="V16" s="1455"/>
      <c r="W16" s="1454"/>
      <c r="X16" s="1456"/>
    </row>
    <row r="17" spans="1:24" ht="15" customHeight="1" x14ac:dyDescent="0.25">
      <c r="A17" s="1027" t="str">
        <f>'Org structure'!A3</f>
        <v>Vote 2 - MUNICIPAL MANAGER</v>
      </c>
      <c r="B17" s="854"/>
      <c r="C17" s="849">
        <f>SUM(C18:C27)</f>
        <v>0</v>
      </c>
      <c r="D17" s="849">
        <f t="shared" ref="D17:L17" si="7">SUM(D18:D27)</f>
        <v>0</v>
      </c>
      <c r="E17" s="850">
        <f t="shared" si="7"/>
        <v>0</v>
      </c>
      <c r="F17" s="851">
        <f t="shared" si="7"/>
        <v>0</v>
      </c>
      <c r="G17" s="849">
        <f t="shared" si="7"/>
        <v>0</v>
      </c>
      <c r="H17" s="850">
        <f t="shared" si="7"/>
        <v>0</v>
      </c>
      <c r="I17" s="852">
        <f>SUM(I18:I27)</f>
        <v>0</v>
      </c>
      <c r="J17" s="1894">
        <f t="shared" si="7"/>
        <v>0</v>
      </c>
      <c r="K17" s="815">
        <f t="shared" si="7"/>
        <v>0</v>
      </c>
      <c r="L17" s="1895">
        <f t="shared" si="7"/>
        <v>0</v>
      </c>
      <c r="M17" s="1031"/>
      <c r="N17" s="851">
        <f t="shared" ref="N17:X17" si="8">SUM(N18:N27)</f>
        <v>0</v>
      </c>
      <c r="O17" s="849">
        <f t="shared" si="8"/>
        <v>0</v>
      </c>
      <c r="P17" s="850">
        <f t="shared" si="8"/>
        <v>0</v>
      </c>
      <c r="Q17" s="851">
        <f t="shared" si="8"/>
        <v>0</v>
      </c>
      <c r="R17" s="851">
        <f t="shared" si="8"/>
        <v>0</v>
      </c>
      <c r="S17" s="849">
        <f t="shared" si="8"/>
        <v>0</v>
      </c>
      <c r="T17" s="1891">
        <f t="shared" si="8"/>
        <v>0</v>
      </c>
      <c r="U17" s="1887">
        <f t="shared" si="8"/>
        <v>0</v>
      </c>
      <c r="V17" s="1892">
        <f t="shared" si="8"/>
        <v>0</v>
      </c>
      <c r="W17" s="849">
        <f t="shared" si="8"/>
        <v>0</v>
      </c>
      <c r="X17" s="1893">
        <f t="shared" si="8"/>
        <v>0</v>
      </c>
    </row>
    <row r="18" spans="1:24" ht="11.25" customHeight="1" x14ac:dyDescent="0.25">
      <c r="A18" s="1028" t="str">
        <f>'Org structure'!E14</f>
        <v>2.1 - MUNICIPAL MANAGER</v>
      </c>
      <c r="B18" s="171"/>
      <c r="C18" s="1454"/>
      <c r="D18" s="1454"/>
      <c r="E18" s="2103"/>
      <c r="F18" s="2104"/>
      <c r="G18" s="1454"/>
      <c r="H18" s="2103"/>
      <c r="I18" s="1455"/>
      <c r="J18" s="1894">
        <f t="shared" ref="J18:J27" si="9">Q18+V18</f>
        <v>0</v>
      </c>
      <c r="K18" s="815">
        <f t="shared" ref="K18:K27" si="10">U18+W18</f>
        <v>0</v>
      </c>
      <c r="L18" s="1895">
        <f t="shared" ref="L18:L27" si="11">X18</f>
        <v>0</v>
      </c>
      <c r="M18" s="1029"/>
      <c r="N18" s="2104"/>
      <c r="O18" s="1454"/>
      <c r="P18" s="2103"/>
      <c r="Q18" s="851">
        <f t="shared" ref="Q18:Q27" si="12">SUM(N18:P18)</f>
        <v>0</v>
      </c>
      <c r="R18" s="2104"/>
      <c r="S18" s="1454"/>
      <c r="T18" s="1455"/>
      <c r="U18" s="1887">
        <f t="shared" si="4"/>
        <v>0</v>
      </c>
      <c r="V18" s="1455"/>
      <c r="W18" s="1454"/>
      <c r="X18" s="1456"/>
    </row>
    <row r="19" spans="1:24" ht="11.25" customHeight="1" x14ac:dyDescent="0.25">
      <c r="A19" s="1028" t="str">
        <f>'Org structure'!E15</f>
        <v>2.2 - URBAN RENEWAL</v>
      </c>
      <c r="B19" s="171"/>
      <c r="C19" s="1454"/>
      <c r="D19" s="1454"/>
      <c r="E19" s="2103"/>
      <c r="F19" s="2104"/>
      <c r="G19" s="1454"/>
      <c r="H19" s="2103"/>
      <c r="I19" s="1455"/>
      <c r="J19" s="1894">
        <f>Q19+V19</f>
        <v>0</v>
      </c>
      <c r="K19" s="815">
        <f>U19+W19</f>
        <v>0</v>
      </c>
      <c r="L19" s="1895">
        <f t="shared" si="11"/>
        <v>0</v>
      </c>
      <c r="M19" s="1029"/>
      <c r="N19" s="2104"/>
      <c r="O19" s="1454"/>
      <c r="P19" s="2103"/>
      <c r="Q19" s="851">
        <f t="shared" si="12"/>
        <v>0</v>
      </c>
      <c r="R19" s="2104"/>
      <c r="S19" s="1454"/>
      <c r="T19" s="1455"/>
      <c r="U19" s="1887">
        <f t="shared" si="4"/>
        <v>0</v>
      </c>
      <c r="V19" s="1455"/>
      <c r="W19" s="1454"/>
      <c r="X19" s="1456"/>
    </row>
    <row r="20" spans="1:24" ht="11.25" customHeight="1" x14ac:dyDescent="0.25">
      <c r="A20" s="1028">
        <f>'Org structure'!E16</f>
        <v>0</v>
      </c>
      <c r="B20" s="171"/>
      <c r="C20" s="1454"/>
      <c r="D20" s="1454"/>
      <c r="E20" s="2103"/>
      <c r="F20" s="2104"/>
      <c r="G20" s="1454"/>
      <c r="H20" s="2103"/>
      <c r="I20" s="1455"/>
      <c r="J20" s="1894">
        <f t="shared" si="9"/>
        <v>0</v>
      </c>
      <c r="K20" s="815">
        <f t="shared" si="10"/>
        <v>0</v>
      </c>
      <c r="L20" s="1895">
        <f t="shared" si="11"/>
        <v>0</v>
      </c>
      <c r="M20" s="1029"/>
      <c r="N20" s="2104"/>
      <c r="O20" s="1454"/>
      <c r="P20" s="2103"/>
      <c r="Q20" s="851">
        <f t="shared" si="12"/>
        <v>0</v>
      </c>
      <c r="R20" s="2104"/>
      <c r="S20" s="1454"/>
      <c r="T20" s="1455"/>
      <c r="U20" s="1887">
        <f t="shared" si="4"/>
        <v>0</v>
      </c>
      <c r="V20" s="1455"/>
      <c r="W20" s="1454"/>
      <c r="X20" s="1456"/>
    </row>
    <row r="21" spans="1:24" ht="11.25" customHeight="1" x14ac:dyDescent="0.25">
      <c r="A21" s="1028">
        <f>'Org structure'!E17</f>
        <v>0</v>
      </c>
      <c r="B21" s="171"/>
      <c r="C21" s="1454"/>
      <c r="D21" s="1454"/>
      <c r="E21" s="2103"/>
      <c r="F21" s="2104"/>
      <c r="G21" s="1454"/>
      <c r="H21" s="2103"/>
      <c r="I21" s="1455"/>
      <c r="J21" s="1894">
        <f t="shared" si="9"/>
        <v>0</v>
      </c>
      <c r="K21" s="815">
        <f>U21+W21</f>
        <v>0</v>
      </c>
      <c r="L21" s="1895">
        <f t="shared" si="11"/>
        <v>0</v>
      </c>
      <c r="M21" s="1029"/>
      <c r="N21" s="2104"/>
      <c r="O21" s="1454"/>
      <c r="P21" s="2103"/>
      <c r="Q21" s="851">
        <f t="shared" si="12"/>
        <v>0</v>
      </c>
      <c r="R21" s="2104"/>
      <c r="S21" s="1454"/>
      <c r="T21" s="1455"/>
      <c r="U21" s="1887">
        <f t="shared" si="4"/>
        <v>0</v>
      </c>
      <c r="V21" s="1455"/>
      <c r="W21" s="1454"/>
      <c r="X21" s="1456"/>
    </row>
    <row r="22" spans="1:24" ht="11.25" customHeight="1" x14ac:dyDescent="0.25">
      <c r="A22" s="1028">
        <f>'Org structure'!E18</f>
        <v>0</v>
      </c>
      <c r="B22" s="171"/>
      <c r="C22" s="1454"/>
      <c r="D22" s="1454"/>
      <c r="E22" s="2103"/>
      <c r="F22" s="2104"/>
      <c r="G22" s="1454"/>
      <c r="H22" s="2103"/>
      <c r="I22" s="1455"/>
      <c r="J22" s="1894">
        <f t="shared" si="9"/>
        <v>0</v>
      </c>
      <c r="K22" s="815">
        <f t="shared" si="10"/>
        <v>0</v>
      </c>
      <c r="L22" s="1895">
        <f t="shared" si="11"/>
        <v>0</v>
      </c>
      <c r="M22" s="1029"/>
      <c r="N22" s="2104"/>
      <c r="O22" s="1454"/>
      <c r="P22" s="2103"/>
      <c r="Q22" s="851">
        <f t="shared" si="12"/>
        <v>0</v>
      </c>
      <c r="R22" s="2104"/>
      <c r="S22" s="1454"/>
      <c r="T22" s="1455"/>
      <c r="U22" s="1887">
        <f t="shared" si="4"/>
        <v>0</v>
      </c>
      <c r="V22" s="1455"/>
      <c r="W22" s="1454"/>
      <c r="X22" s="1456"/>
    </row>
    <row r="23" spans="1:24" ht="11.25" customHeight="1" x14ac:dyDescent="0.25">
      <c r="A23" s="1028">
        <f>'Org structure'!E19</f>
        <v>0</v>
      </c>
      <c r="B23" s="171"/>
      <c r="C23" s="1454"/>
      <c r="D23" s="1454"/>
      <c r="E23" s="2103"/>
      <c r="F23" s="2104"/>
      <c r="G23" s="1454"/>
      <c r="H23" s="2103"/>
      <c r="I23" s="1455"/>
      <c r="J23" s="1894">
        <f t="shared" si="9"/>
        <v>0</v>
      </c>
      <c r="K23" s="815">
        <f t="shared" si="10"/>
        <v>0</v>
      </c>
      <c r="L23" s="1895">
        <f t="shared" si="11"/>
        <v>0</v>
      </c>
      <c r="M23" s="1029"/>
      <c r="N23" s="2104"/>
      <c r="O23" s="1454"/>
      <c r="P23" s="2103"/>
      <c r="Q23" s="851">
        <f t="shared" si="12"/>
        <v>0</v>
      </c>
      <c r="R23" s="2104"/>
      <c r="S23" s="1454"/>
      <c r="T23" s="1455"/>
      <c r="U23" s="1887">
        <f t="shared" si="4"/>
        <v>0</v>
      </c>
      <c r="V23" s="1455"/>
      <c r="W23" s="1454"/>
      <c r="X23" s="1456"/>
    </row>
    <row r="24" spans="1:24" ht="11.25" customHeight="1" x14ac:dyDescent="0.25">
      <c r="A24" s="1028">
        <f>'Org structure'!E20</f>
        <v>0</v>
      </c>
      <c r="B24" s="171"/>
      <c r="C24" s="1454"/>
      <c r="D24" s="1454"/>
      <c r="E24" s="2103"/>
      <c r="F24" s="2104"/>
      <c r="G24" s="1454"/>
      <c r="H24" s="2103"/>
      <c r="I24" s="1455"/>
      <c r="J24" s="1894">
        <f t="shared" si="9"/>
        <v>0</v>
      </c>
      <c r="K24" s="815">
        <f t="shared" si="10"/>
        <v>0</v>
      </c>
      <c r="L24" s="1895">
        <f t="shared" si="11"/>
        <v>0</v>
      </c>
      <c r="M24" s="1029"/>
      <c r="N24" s="2104"/>
      <c r="O24" s="1454"/>
      <c r="P24" s="2103"/>
      <c r="Q24" s="851">
        <f t="shared" si="12"/>
        <v>0</v>
      </c>
      <c r="R24" s="2104"/>
      <c r="S24" s="1454"/>
      <c r="T24" s="1455"/>
      <c r="U24" s="1887">
        <f t="shared" si="4"/>
        <v>0</v>
      </c>
      <c r="V24" s="1455"/>
      <c r="W24" s="1454"/>
      <c r="X24" s="1456"/>
    </row>
    <row r="25" spans="1:24" ht="11.25" customHeight="1" x14ac:dyDescent="0.25">
      <c r="A25" s="1028">
        <f>'Org structure'!E21</f>
        <v>0</v>
      </c>
      <c r="B25" s="171"/>
      <c r="C25" s="1454"/>
      <c r="D25" s="1454"/>
      <c r="E25" s="2103"/>
      <c r="F25" s="2104"/>
      <c r="G25" s="1454"/>
      <c r="H25" s="2103"/>
      <c r="I25" s="1455"/>
      <c r="J25" s="1894">
        <f t="shared" si="9"/>
        <v>0</v>
      </c>
      <c r="K25" s="815">
        <f t="shared" si="10"/>
        <v>0</v>
      </c>
      <c r="L25" s="1895">
        <f t="shared" si="11"/>
        <v>0</v>
      </c>
      <c r="M25" s="1029"/>
      <c r="N25" s="2104"/>
      <c r="O25" s="1454"/>
      <c r="P25" s="2103"/>
      <c r="Q25" s="851">
        <f t="shared" si="12"/>
        <v>0</v>
      </c>
      <c r="R25" s="2104"/>
      <c r="S25" s="1454"/>
      <c r="T25" s="1455"/>
      <c r="U25" s="1887">
        <f t="shared" si="4"/>
        <v>0</v>
      </c>
      <c r="V25" s="1455"/>
      <c r="W25" s="1454"/>
      <c r="X25" s="1456"/>
    </row>
    <row r="26" spans="1:24" ht="11.25" customHeight="1" x14ac:dyDescent="0.25">
      <c r="A26" s="1028">
        <f>'Org structure'!E22</f>
        <v>0</v>
      </c>
      <c r="B26" s="171"/>
      <c r="C26" s="1454"/>
      <c r="D26" s="1454"/>
      <c r="E26" s="2103"/>
      <c r="F26" s="2104"/>
      <c r="G26" s="1454"/>
      <c r="H26" s="2103"/>
      <c r="I26" s="1455"/>
      <c r="J26" s="1894">
        <f t="shared" si="9"/>
        <v>0</v>
      </c>
      <c r="K26" s="815">
        <f t="shared" si="10"/>
        <v>0</v>
      </c>
      <c r="L26" s="1895">
        <f t="shared" si="11"/>
        <v>0</v>
      </c>
      <c r="M26" s="1029"/>
      <c r="N26" s="2104"/>
      <c r="O26" s="1454"/>
      <c r="P26" s="2103"/>
      <c r="Q26" s="851">
        <f t="shared" si="12"/>
        <v>0</v>
      </c>
      <c r="R26" s="2104"/>
      <c r="S26" s="1454"/>
      <c r="T26" s="1455"/>
      <c r="U26" s="1887">
        <f t="shared" si="4"/>
        <v>0</v>
      </c>
      <c r="V26" s="1455"/>
      <c r="W26" s="1454"/>
      <c r="X26" s="1456"/>
    </row>
    <row r="27" spans="1:24" ht="11.25" customHeight="1" x14ac:dyDescent="0.25">
      <c r="A27" s="1028">
        <f>'Org structure'!E23</f>
        <v>0</v>
      </c>
      <c r="B27" s="171"/>
      <c r="C27" s="1454"/>
      <c r="D27" s="1454"/>
      <c r="E27" s="2103"/>
      <c r="F27" s="2104"/>
      <c r="G27" s="1454"/>
      <c r="H27" s="2103"/>
      <c r="I27" s="1455"/>
      <c r="J27" s="1894">
        <f t="shared" si="9"/>
        <v>0</v>
      </c>
      <c r="K27" s="815">
        <f t="shared" si="10"/>
        <v>0</v>
      </c>
      <c r="L27" s="1895">
        <f t="shared" si="11"/>
        <v>0</v>
      </c>
      <c r="M27" s="1029"/>
      <c r="N27" s="2104"/>
      <c r="O27" s="1454"/>
      <c r="P27" s="2103"/>
      <c r="Q27" s="851">
        <f t="shared" si="12"/>
        <v>0</v>
      </c>
      <c r="R27" s="2104"/>
      <c r="S27" s="1454"/>
      <c r="T27" s="1455"/>
      <c r="U27" s="1887">
        <f t="shared" si="4"/>
        <v>0</v>
      </c>
      <c r="V27" s="1455"/>
      <c r="W27" s="1454"/>
      <c r="X27" s="1456"/>
    </row>
    <row r="28" spans="1:24" ht="15" customHeight="1" x14ac:dyDescent="0.25">
      <c r="A28" s="1027" t="str">
        <f>'Org structure'!A4</f>
        <v>Vote 3 - FINANCE</v>
      </c>
      <c r="B28" s="854"/>
      <c r="C28" s="849">
        <f>SUM(C29:C38)</f>
        <v>0</v>
      </c>
      <c r="D28" s="849">
        <f t="shared" ref="D28:L28" si="13">SUM(D29:D38)</f>
        <v>0</v>
      </c>
      <c r="E28" s="850">
        <f t="shared" si="13"/>
        <v>0</v>
      </c>
      <c r="F28" s="851">
        <f t="shared" si="13"/>
        <v>0</v>
      </c>
      <c r="G28" s="849">
        <f t="shared" si="13"/>
        <v>0</v>
      </c>
      <c r="H28" s="850">
        <f t="shared" si="13"/>
        <v>0</v>
      </c>
      <c r="I28" s="852">
        <f>SUM(I29:I38)</f>
        <v>0</v>
      </c>
      <c r="J28" s="1894">
        <f t="shared" si="13"/>
        <v>0</v>
      </c>
      <c r="K28" s="815">
        <f t="shared" si="13"/>
        <v>0</v>
      </c>
      <c r="L28" s="1895">
        <f t="shared" si="13"/>
        <v>0</v>
      </c>
      <c r="M28" s="1029"/>
      <c r="N28" s="851">
        <f t="shared" ref="N28:X28" si="14">SUM(N29:N38)</f>
        <v>0</v>
      </c>
      <c r="O28" s="849">
        <f t="shared" si="14"/>
        <v>0</v>
      </c>
      <c r="P28" s="850">
        <f t="shared" si="14"/>
        <v>0</v>
      </c>
      <c r="Q28" s="851">
        <f t="shared" si="14"/>
        <v>0</v>
      </c>
      <c r="R28" s="851">
        <f t="shared" si="14"/>
        <v>0</v>
      </c>
      <c r="S28" s="849">
        <f t="shared" si="14"/>
        <v>0</v>
      </c>
      <c r="T28" s="1891">
        <f t="shared" si="14"/>
        <v>0</v>
      </c>
      <c r="U28" s="1887">
        <f t="shared" si="14"/>
        <v>0</v>
      </c>
      <c r="V28" s="1892">
        <f t="shared" si="14"/>
        <v>0</v>
      </c>
      <c r="W28" s="849">
        <f t="shared" si="14"/>
        <v>0</v>
      </c>
      <c r="X28" s="1893">
        <f t="shared" si="14"/>
        <v>0</v>
      </c>
    </row>
    <row r="29" spans="1:24" ht="11.25" customHeight="1" x14ac:dyDescent="0.25">
      <c r="A29" s="1028" t="str">
        <f>'Org structure'!E25</f>
        <v>3.1 - FINANCE</v>
      </c>
      <c r="B29" s="171"/>
      <c r="C29" s="1454"/>
      <c r="D29" s="1454"/>
      <c r="E29" s="2103"/>
      <c r="F29" s="2104"/>
      <c r="G29" s="1454"/>
      <c r="H29" s="2103"/>
      <c r="I29" s="1455"/>
      <c r="J29" s="1894">
        <f t="shared" ref="J29:J38" si="15">Q29+V29</f>
        <v>0</v>
      </c>
      <c r="K29" s="815">
        <f t="shared" ref="K29:K38" si="16">U29+W29</f>
        <v>0</v>
      </c>
      <c r="L29" s="1895">
        <f t="shared" ref="L29:L38" si="17">X29</f>
        <v>0</v>
      </c>
      <c r="M29" s="1029"/>
      <c r="N29" s="2104"/>
      <c r="O29" s="1454"/>
      <c r="P29" s="2103"/>
      <c r="Q29" s="851">
        <f t="shared" ref="Q29:Q38" si="18">SUM(N29:P29)</f>
        <v>0</v>
      </c>
      <c r="R29" s="2104"/>
      <c r="S29" s="1454"/>
      <c r="T29" s="1455"/>
      <c r="U29" s="1887">
        <f t="shared" si="4"/>
        <v>0</v>
      </c>
      <c r="V29" s="1455"/>
      <c r="W29" s="1454"/>
      <c r="X29" s="1456"/>
    </row>
    <row r="30" spans="1:24" ht="11.25" customHeight="1" x14ac:dyDescent="0.25">
      <c r="A30" s="1028" t="str">
        <f>'Org structure'!E26</f>
        <v>3.2 - STORES</v>
      </c>
      <c r="B30" s="171"/>
      <c r="C30" s="1454"/>
      <c r="D30" s="1454"/>
      <c r="E30" s="2103"/>
      <c r="F30" s="2104"/>
      <c r="G30" s="1454"/>
      <c r="H30" s="2103"/>
      <c r="I30" s="1455"/>
      <c r="J30" s="1894">
        <f t="shared" si="15"/>
        <v>0</v>
      </c>
      <c r="K30" s="815">
        <f t="shared" si="16"/>
        <v>0</v>
      </c>
      <c r="L30" s="1895">
        <f t="shared" si="17"/>
        <v>0</v>
      </c>
      <c r="M30" s="1029"/>
      <c r="N30" s="2104"/>
      <c r="O30" s="1454"/>
      <c r="P30" s="2103"/>
      <c r="Q30" s="851">
        <f t="shared" si="18"/>
        <v>0</v>
      </c>
      <c r="R30" s="2104"/>
      <c r="S30" s="1454"/>
      <c r="T30" s="1455"/>
      <c r="U30" s="1887">
        <f t="shared" si="4"/>
        <v>0</v>
      </c>
      <c r="V30" s="1455"/>
      <c r="W30" s="1454"/>
      <c r="X30" s="1456"/>
    </row>
    <row r="31" spans="1:24" ht="11.25" customHeight="1" x14ac:dyDescent="0.25">
      <c r="A31" s="1028" t="str">
        <f>'Org structure'!E27</f>
        <v>3.3 - FLEET</v>
      </c>
      <c r="B31" s="171"/>
      <c r="C31" s="1454"/>
      <c r="D31" s="1454"/>
      <c r="E31" s="2103"/>
      <c r="F31" s="2104"/>
      <c r="G31" s="1454"/>
      <c r="H31" s="2103"/>
      <c r="I31" s="1455"/>
      <c r="J31" s="1894">
        <f t="shared" si="15"/>
        <v>0</v>
      </c>
      <c r="K31" s="815">
        <f t="shared" si="16"/>
        <v>0</v>
      </c>
      <c r="L31" s="1895">
        <f t="shared" si="17"/>
        <v>0</v>
      </c>
      <c r="M31" s="1029"/>
      <c r="N31" s="2104"/>
      <c r="O31" s="1454"/>
      <c r="P31" s="2103"/>
      <c r="Q31" s="851">
        <f t="shared" si="18"/>
        <v>0</v>
      </c>
      <c r="R31" s="2104"/>
      <c r="S31" s="1454"/>
      <c r="T31" s="1455"/>
      <c r="U31" s="1887">
        <f>SUM(R31:T31)</f>
        <v>0</v>
      </c>
      <c r="V31" s="1455"/>
      <c r="W31" s="1454"/>
      <c r="X31" s="1456"/>
    </row>
    <row r="32" spans="1:24" ht="11.25" customHeight="1" x14ac:dyDescent="0.25">
      <c r="A32" s="1028">
        <f>'Org structure'!E28</f>
        <v>0</v>
      </c>
      <c r="B32" s="171"/>
      <c r="C32" s="1454"/>
      <c r="D32" s="1454"/>
      <c r="E32" s="2103"/>
      <c r="F32" s="2104"/>
      <c r="G32" s="1454"/>
      <c r="H32" s="2103"/>
      <c r="I32" s="1455"/>
      <c r="J32" s="1894">
        <f t="shared" si="15"/>
        <v>0</v>
      </c>
      <c r="K32" s="815">
        <f>U32+W32</f>
        <v>0</v>
      </c>
      <c r="L32" s="1895">
        <f t="shared" si="17"/>
        <v>0</v>
      </c>
      <c r="M32" s="1029"/>
      <c r="N32" s="2104"/>
      <c r="O32" s="1454"/>
      <c r="P32" s="2103"/>
      <c r="Q32" s="851">
        <f t="shared" si="18"/>
        <v>0</v>
      </c>
      <c r="R32" s="2104"/>
      <c r="S32" s="1454"/>
      <c r="T32" s="1455"/>
      <c r="U32" s="1887">
        <f t="shared" si="4"/>
        <v>0</v>
      </c>
      <c r="V32" s="1455"/>
      <c r="W32" s="1454"/>
      <c r="X32" s="1456"/>
    </row>
    <row r="33" spans="1:24" ht="11.25" customHeight="1" x14ac:dyDescent="0.25">
      <c r="A33" s="1028">
        <f>'Org structure'!E29</f>
        <v>0</v>
      </c>
      <c r="B33" s="171"/>
      <c r="C33" s="1454"/>
      <c r="D33" s="1454"/>
      <c r="E33" s="2103"/>
      <c r="F33" s="2104"/>
      <c r="G33" s="1454"/>
      <c r="H33" s="2103"/>
      <c r="I33" s="1455"/>
      <c r="J33" s="1894">
        <f>Q33+V33</f>
        <v>0</v>
      </c>
      <c r="K33" s="815">
        <f t="shared" si="16"/>
        <v>0</v>
      </c>
      <c r="L33" s="1895">
        <f t="shared" si="17"/>
        <v>0</v>
      </c>
      <c r="M33" s="1029"/>
      <c r="N33" s="2104"/>
      <c r="O33" s="1454"/>
      <c r="P33" s="2103"/>
      <c r="Q33" s="851">
        <f t="shared" si="18"/>
        <v>0</v>
      </c>
      <c r="R33" s="2104"/>
      <c r="S33" s="1454"/>
      <c r="T33" s="1455"/>
      <c r="U33" s="1887">
        <f t="shared" si="4"/>
        <v>0</v>
      </c>
      <c r="V33" s="1455"/>
      <c r="W33" s="1454"/>
      <c r="X33" s="1456"/>
    </row>
    <row r="34" spans="1:24" ht="11.25" customHeight="1" x14ac:dyDescent="0.25">
      <c r="A34" s="1028">
        <f>'Org structure'!E30</f>
        <v>0</v>
      </c>
      <c r="B34" s="171"/>
      <c r="C34" s="1454"/>
      <c r="D34" s="1454"/>
      <c r="E34" s="2103"/>
      <c r="F34" s="2104"/>
      <c r="G34" s="1454"/>
      <c r="H34" s="2103"/>
      <c r="I34" s="1455"/>
      <c r="J34" s="1894">
        <f t="shared" si="15"/>
        <v>0</v>
      </c>
      <c r="K34" s="815">
        <f t="shared" si="16"/>
        <v>0</v>
      </c>
      <c r="L34" s="1895">
        <f t="shared" si="17"/>
        <v>0</v>
      </c>
      <c r="M34" s="1029"/>
      <c r="N34" s="2104"/>
      <c r="O34" s="1454"/>
      <c r="P34" s="2103"/>
      <c r="Q34" s="851">
        <f t="shared" si="18"/>
        <v>0</v>
      </c>
      <c r="R34" s="2104"/>
      <c r="S34" s="1454"/>
      <c r="T34" s="1455"/>
      <c r="U34" s="1887">
        <f t="shared" si="4"/>
        <v>0</v>
      </c>
      <c r="V34" s="1455"/>
      <c r="W34" s="1454"/>
      <c r="X34" s="1456"/>
    </row>
    <row r="35" spans="1:24" ht="11.25" customHeight="1" x14ac:dyDescent="0.25">
      <c r="A35" s="1028">
        <f>'Org structure'!E31</f>
        <v>0</v>
      </c>
      <c r="B35" s="171"/>
      <c r="C35" s="1454"/>
      <c r="D35" s="1454"/>
      <c r="E35" s="2103"/>
      <c r="F35" s="2104"/>
      <c r="G35" s="1454"/>
      <c r="H35" s="2103"/>
      <c r="I35" s="1455"/>
      <c r="J35" s="1894">
        <f t="shared" si="15"/>
        <v>0</v>
      </c>
      <c r="K35" s="815">
        <f t="shared" si="16"/>
        <v>0</v>
      </c>
      <c r="L35" s="1895">
        <f t="shared" si="17"/>
        <v>0</v>
      </c>
      <c r="M35" s="1029"/>
      <c r="N35" s="2104"/>
      <c r="O35" s="1454"/>
      <c r="P35" s="2103"/>
      <c r="Q35" s="851">
        <f t="shared" si="18"/>
        <v>0</v>
      </c>
      <c r="R35" s="2104"/>
      <c r="S35" s="1454"/>
      <c r="T35" s="1455"/>
      <c r="U35" s="1887">
        <f t="shared" si="4"/>
        <v>0</v>
      </c>
      <c r="V35" s="1455"/>
      <c r="W35" s="1454"/>
      <c r="X35" s="1456"/>
    </row>
    <row r="36" spans="1:24" ht="11.25" customHeight="1" x14ac:dyDescent="0.25">
      <c r="A36" s="1028">
        <f>'Org structure'!E32</f>
        <v>0</v>
      </c>
      <c r="B36" s="171"/>
      <c r="C36" s="1454"/>
      <c r="D36" s="1454"/>
      <c r="E36" s="2103"/>
      <c r="F36" s="2104"/>
      <c r="G36" s="1454"/>
      <c r="H36" s="2103"/>
      <c r="I36" s="1455"/>
      <c r="J36" s="1894">
        <f t="shared" si="15"/>
        <v>0</v>
      </c>
      <c r="K36" s="815">
        <f t="shared" si="16"/>
        <v>0</v>
      </c>
      <c r="L36" s="1895">
        <f t="shared" si="17"/>
        <v>0</v>
      </c>
      <c r="M36" s="1029"/>
      <c r="N36" s="2104"/>
      <c r="O36" s="1454"/>
      <c r="P36" s="2103"/>
      <c r="Q36" s="851">
        <f t="shared" si="18"/>
        <v>0</v>
      </c>
      <c r="R36" s="2104"/>
      <c r="S36" s="1454"/>
      <c r="T36" s="1455"/>
      <c r="U36" s="1887">
        <f t="shared" si="4"/>
        <v>0</v>
      </c>
      <c r="V36" s="1455"/>
      <c r="W36" s="1454"/>
      <c r="X36" s="1456"/>
    </row>
    <row r="37" spans="1:24" ht="11.25" customHeight="1" x14ac:dyDescent="0.25">
      <c r="A37" s="1028">
        <f>'Org structure'!E33</f>
        <v>0</v>
      </c>
      <c r="B37" s="171"/>
      <c r="C37" s="1454"/>
      <c r="D37" s="1454"/>
      <c r="E37" s="2103"/>
      <c r="F37" s="2104"/>
      <c r="G37" s="1454"/>
      <c r="H37" s="2103"/>
      <c r="I37" s="1455"/>
      <c r="J37" s="1894">
        <f t="shared" si="15"/>
        <v>0</v>
      </c>
      <c r="K37" s="815">
        <f t="shared" si="16"/>
        <v>0</v>
      </c>
      <c r="L37" s="1895">
        <f t="shared" si="17"/>
        <v>0</v>
      </c>
      <c r="M37" s="1029"/>
      <c r="N37" s="2104"/>
      <c r="O37" s="1454"/>
      <c r="P37" s="2103"/>
      <c r="Q37" s="851">
        <f t="shared" si="18"/>
        <v>0</v>
      </c>
      <c r="R37" s="2104"/>
      <c r="S37" s="1454"/>
      <c r="T37" s="1455"/>
      <c r="U37" s="1887">
        <f t="shared" si="4"/>
        <v>0</v>
      </c>
      <c r="V37" s="1455"/>
      <c r="W37" s="1454"/>
      <c r="X37" s="1456"/>
    </row>
    <row r="38" spans="1:24" ht="11.25" customHeight="1" x14ac:dyDescent="0.25">
      <c r="A38" s="1028">
        <f>'Org structure'!E34</f>
        <v>0</v>
      </c>
      <c r="B38" s="171"/>
      <c r="C38" s="1454"/>
      <c r="D38" s="1454"/>
      <c r="E38" s="2103"/>
      <c r="F38" s="2104"/>
      <c r="G38" s="1454"/>
      <c r="H38" s="2103"/>
      <c r="I38" s="1455"/>
      <c r="J38" s="1894">
        <f t="shared" si="15"/>
        <v>0</v>
      </c>
      <c r="K38" s="815">
        <f t="shared" si="16"/>
        <v>0</v>
      </c>
      <c r="L38" s="1895">
        <f t="shared" si="17"/>
        <v>0</v>
      </c>
      <c r="M38" s="1029"/>
      <c r="N38" s="2104"/>
      <c r="O38" s="1454"/>
      <c r="P38" s="2103"/>
      <c r="Q38" s="851">
        <f t="shared" si="18"/>
        <v>0</v>
      </c>
      <c r="R38" s="2104"/>
      <c r="S38" s="1454"/>
      <c r="T38" s="1455"/>
      <c r="U38" s="1887">
        <f t="shared" si="4"/>
        <v>0</v>
      </c>
      <c r="V38" s="1455"/>
      <c r="W38" s="1454"/>
      <c r="X38" s="1456"/>
    </row>
    <row r="39" spans="1:24" ht="15" customHeight="1" x14ac:dyDescent="0.25">
      <c r="A39" s="1027" t="str">
        <f>'Org structure'!A5</f>
        <v>Vote 4 - CORPORATE SERVICES MANAGEMENT</v>
      </c>
      <c r="B39" s="854"/>
      <c r="C39" s="849">
        <f>SUM(C40:C49)</f>
        <v>0</v>
      </c>
      <c r="D39" s="849">
        <f t="shared" ref="D39:L39" si="19">SUM(D40:D49)</f>
        <v>0</v>
      </c>
      <c r="E39" s="850">
        <f t="shared" si="19"/>
        <v>0</v>
      </c>
      <c r="F39" s="855">
        <f t="shared" si="19"/>
        <v>0</v>
      </c>
      <c r="G39" s="849">
        <f t="shared" si="19"/>
        <v>0</v>
      </c>
      <c r="H39" s="850">
        <f t="shared" si="19"/>
        <v>0</v>
      </c>
      <c r="I39" s="852">
        <f>SUM(I40:I49)</f>
        <v>0</v>
      </c>
      <c r="J39" s="1894">
        <f t="shared" si="19"/>
        <v>0</v>
      </c>
      <c r="K39" s="815">
        <f t="shared" si="19"/>
        <v>0</v>
      </c>
      <c r="L39" s="1895">
        <f t="shared" si="19"/>
        <v>0</v>
      </c>
      <c r="M39" s="1029"/>
      <c r="N39" s="851">
        <f t="shared" ref="N39:X39" si="20">SUM(N40:N49)</f>
        <v>0</v>
      </c>
      <c r="O39" s="849">
        <f t="shared" si="20"/>
        <v>0</v>
      </c>
      <c r="P39" s="856">
        <f t="shared" si="20"/>
        <v>0</v>
      </c>
      <c r="Q39" s="851">
        <f t="shared" si="20"/>
        <v>0</v>
      </c>
      <c r="R39" s="851">
        <f t="shared" si="20"/>
        <v>0</v>
      </c>
      <c r="S39" s="849">
        <f t="shared" si="20"/>
        <v>0</v>
      </c>
      <c r="T39" s="1891">
        <f t="shared" si="20"/>
        <v>0</v>
      </c>
      <c r="U39" s="1887">
        <f t="shared" si="20"/>
        <v>0</v>
      </c>
      <c r="V39" s="1892">
        <f t="shared" si="20"/>
        <v>0</v>
      </c>
      <c r="W39" s="849">
        <f t="shared" si="20"/>
        <v>0</v>
      </c>
      <c r="X39" s="1893">
        <f t="shared" si="20"/>
        <v>0</v>
      </c>
    </row>
    <row r="40" spans="1:24" ht="11.25" customHeight="1" x14ac:dyDescent="0.25">
      <c r="A40" s="1028">
        <f>'Org structure'!E36</f>
        <v>0</v>
      </c>
      <c r="B40" s="171"/>
      <c r="C40" s="1454"/>
      <c r="D40" s="1454"/>
      <c r="E40" s="2103"/>
      <c r="F40" s="2104"/>
      <c r="G40" s="1454"/>
      <c r="H40" s="2103"/>
      <c r="I40" s="1455"/>
      <c r="J40" s="1894">
        <f t="shared" ref="J40:J49" si="21">Q40+V40</f>
        <v>0</v>
      </c>
      <c r="K40" s="815">
        <f t="shared" ref="K40:K49" si="22">U40+W40</f>
        <v>0</v>
      </c>
      <c r="L40" s="1895">
        <f t="shared" ref="L40:L49" si="23">X40</f>
        <v>0</v>
      </c>
      <c r="M40" s="1029"/>
      <c r="N40" s="2104"/>
      <c r="O40" s="1454"/>
      <c r="P40" s="2103"/>
      <c r="Q40" s="851">
        <f t="shared" ref="Q40:Q49" si="24">SUM(N40:P40)</f>
        <v>0</v>
      </c>
      <c r="R40" s="2104"/>
      <c r="S40" s="1454"/>
      <c r="T40" s="1455"/>
      <c r="U40" s="1887">
        <f t="shared" si="4"/>
        <v>0</v>
      </c>
      <c r="V40" s="1455"/>
      <c r="W40" s="1454"/>
      <c r="X40" s="1456"/>
    </row>
    <row r="41" spans="1:24" ht="11.25" customHeight="1" x14ac:dyDescent="0.25">
      <c r="A41" s="1028" t="str">
        <f>'Org structure'!E37</f>
        <v>4.2 - HUMAN RESOURCES</v>
      </c>
      <c r="B41" s="171"/>
      <c r="C41" s="1454"/>
      <c r="D41" s="1454"/>
      <c r="E41" s="2103"/>
      <c r="F41" s="2104"/>
      <c r="G41" s="1454"/>
      <c r="H41" s="2103"/>
      <c r="I41" s="1455"/>
      <c r="J41" s="1894">
        <f t="shared" si="21"/>
        <v>0</v>
      </c>
      <c r="K41" s="815">
        <f t="shared" si="22"/>
        <v>0</v>
      </c>
      <c r="L41" s="1895">
        <f t="shared" si="23"/>
        <v>0</v>
      </c>
      <c r="M41" s="1029"/>
      <c r="N41" s="2104"/>
      <c r="O41" s="1454"/>
      <c r="P41" s="2103"/>
      <c r="Q41" s="851">
        <f t="shared" si="24"/>
        <v>0</v>
      </c>
      <c r="R41" s="2104"/>
      <c r="S41" s="1454"/>
      <c r="T41" s="1455"/>
      <c r="U41" s="1887">
        <f t="shared" si="4"/>
        <v>0</v>
      </c>
      <c r="V41" s="1455"/>
      <c r="W41" s="1454"/>
      <c r="X41" s="1456"/>
    </row>
    <row r="42" spans="1:24" ht="11.25" customHeight="1" x14ac:dyDescent="0.25">
      <c r="A42" s="1028" t="str">
        <f>'Org structure'!E38</f>
        <v>4.3 - ADMINISTRATION</v>
      </c>
      <c r="B42" s="171"/>
      <c r="C42" s="1454"/>
      <c r="D42" s="1454"/>
      <c r="E42" s="2103"/>
      <c r="F42" s="2104"/>
      <c r="G42" s="1454"/>
      <c r="H42" s="2103"/>
      <c r="I42" s="1455"/>
      <c r="J42" s="1894">
        <f t="shared" si="21"/>
        <v>0</v>
      </c>
      <c r="K42" s="815">
        <f t="shared" si="22"/>
        <v>0</v>
      </c>
      <c r="L42" s="1895">
        <f t="shared" si="23"/>
        <v>0</v>
      </c>
      <c r="M42" s="1029"/>
      <c r="N42" s="2104"/>
      <c r="O42" s="1454"/>
      <c r="P42" s="2103"/>
      <c r="Q42" s="851">
        <f t="shared" si="24"/>
        <v>0</v>
      </c>
      <c r="R42" s="2104"/>
      <c r="S42" s="1454"/>
      <c r="T42" s="1455"/>
      <c r="U42" s="1887">
        <f t="shared" si="4"/>
        <v>0</v>
      </c>
      <c r="V42" s="1455"/>
      <c r="W42" s="1454"/>
      <c r="X42" s="1456"/>
    </row>
    <row r="43" spans="1:24" ht="11.25" customHeight="1" x14ac:dyDescent="0.25">
      <c r="A43" s="1028" t="str">
        <f>'Org structure'!E39</f>
        <v>4.4 - CORPORATE SERVICES MANAGEMENT</v>
      </c>
      <c r="B43" s="171"/>
      <c r="C43" s="1454"/>
      <c r="D43" s="1454"/>
      <c r="E43" s="2103"/>
      <c r="F43" s="2104"/>
      <c r="G43" s="1454"/>
      <c r="H43" s="2103"/>
      <c r="I43" s="1455"/>
      <c r="J43" s="1894">
        <f t="shared" si="21"/>
        <v>0</v>
      </c>
      <c r="K43" s="815">
        <f t="shared" si="22"/>
        <v>0</v>
      </c>
      <c r="L43" s="1895">
        <f t="shared" si="23"/>
        <v>0</v>
      </c>
      <c r="M43" s="1029"/>
      <c r="N43" s="2104"/>
      <c r="O43" s="1454"/>
      <c r="P43" s="2103"/>
      <c r="Q43" s="851">
        <f t="shared" si="24"/>
        <v>0</v>
      </c>
      <c r="R43" s="2104"/>
      <c r="S43" s="1454"/>
      <c r="T43" s="1455"/>
      <c r="U43" s="1887">
        <f t="shared" si="4"/>
        <v>0</v>
      </c>
      <c r="V43" s="1455"/>
      <c r="W43" s="1454"/>
      <c r="X43" s="1456"/>
    </row>
    <row r="44" spans="1:24" ht="11.25" customHeight="1" x14ac:dyDescent="0.25">
      <c r="A44" s="1028">
        <f>'Org structure'!E40</f>
        <v>0</v>
      </c>
      <c r="B44" s="171"/>
      <c r="C44" s="1454"/>
      <c r="D44" s="1454"/>
      <c r="E44" s="2103"/>
      <c r="F44" s="2104"/>
      <c r="G44" s="1454"/>
      <c r="H44" s="2103"/>
      <c r="I44" s="1455"/>
      <c r="J44" s="1894">
        <f t="shared" si="21"/>
        <v>0</v>
      </c>
      <c r="K44" s="815">
        <f t="shared" si="22"/>
        <v>0</v>
      </c>
      <c r="L44" s="1895">
        <f t="shared" si="23"/>
        <v>0</v>
      </c>
      <c r="M44" s="1029"/>
      <c r="N44" s="2104"/>
      <c r="O44" s="1454"/>
      <c r="P44" s="2103"/>
      <c r="Q44" s="851">
        <f t="shared" si="24"/>
        <v>0</v>
      </c>
      <c r="R44" s="2104"/>
      <c r="S44" s="1454"/>
      <c r="T44" s="1455"/>
      <c r="U44" s="1887">
        <f t="shared" si="4"/>
        <v>0</v>
      </c>
      <c r="V44" s="1455"/>
      <c r="W44" s="1454"/>
      <c r="X44" s="1456"/>
    </row>
    <row r="45" spans="1:24" ht="11.25" customHeight="1" x14ac:dyDescent="0.25">
      <c r="A45" s="1028">
        <f>'Org structure'!E41</f>
        <v>0</v>
      </c>
      <c r="B45" s="171"/>
      <c r="C45" s="1454"/>
      <c r="D45" s="1454"/>
      <c r="E45" s="2103"/>
      <c r="F45" s="2104"/>
      <c r="G45" s="1454"/>
      <c r="H45" s="2103"/>
      <c r="I45" s="1455"/>
      <c r="J45" s="1894">
        <f t="shared" si="21"/>
        <v>0</v>
      </c>
      <c r="K45" s="815">
        <f t="shared" si="22"/>
        <v>0</v>
      </c>
      <c r="L45" s="1895">
        <f t="shared" si="23"/>
        <v>0</v>
      </c>
      <c r="M45" s="1029"/>
      <c r="N45" s="2104"/>
      <c r="O45" s="1454"/>
      <c r="P45" s="2103"/>
      <c r="Q45" s="851">
        <f t="shared" si="24"/>
        <v>0</v>
      </c>
      <c r="R45" s="2104"/>
      <c r="S45" s="1454"/>
      <c r="T45" s="1455"/>
      <c r="U45" s="1887">
        <f t="shared" si="4"/>
        <v>0</v>
      </c>
      <c r="V45" s="1455"/>
      <c r="W45" s="1454"/>
      <c r="X45" s="1456"/>
    </row>
    <row r="46" spans="1:24" ht="11.25" customHeight="1" x14ac:dyDescent="0.25">
      <c r="A46" s="1028">
        <f>'Org structure'!E42</f>
        <v>0</v>
      </c>
      <c r="B46" s="171"/>
      <c r="C46" s="1454"/>
      <c r="D46" s="1454"/>
      <c r="E46" s="2103"/>
      <c r="F46" s="2104"/>
      <c r="G46" s="1454"/>
      <c r="H46" s="2103"/>
      <c r="I46" s="1455"/>
      <c r="J46" s="1894">
        <f t="shared" si="21"/>
        <v>0</v>
      </c>
      <c r="K46" s="815">
        <f t="shared" si="22"/>
        <v>0</v>
      </c>
      <c r="L46" s="1895">
        <f t="shared" si="23"/>
        <v>0</v>
      </c>
      <c r="M46" s="1029"/>
      <c r="N46" s="2104"/>
      <c r="O46" s="1454"/>
      <c r="P46" s="2103"/>
      <c r="Q46" s="851">
        <f t="shared" si="24"/>
        <v>0</v>
      </c>
      <c r="R46" s="2104"/>
      <c r="S46" s="1454"/>
      <c r="T46" s="1455"/>
      <c r="U46" s="1887">
        <f t="shared" si="4"/>
        <v>0</v>
      </c>
      <c r="V46" s="1455"/>
      <c r="W46" s="1454"/>
      <c r="X46" s="1456"/>
    </row>
    <row r="47" spans="1:24" ht="11.25" customHeight="1" x14ac:dyDescent="0.25">
      <c r="A47" s="1028">
        <f>'Org structure'!E43</f>
        <v>0</v>
      </c>
      <c r="B47" s="171"/>
      <c r="C47" s="1454"/>
      <c r="D47" s="1454"/>
      <c r="E47" s="2103"/>
      <c r="F47" s="2104"/>
      <c r="G47" s="1454"/>
      <c r="H47" s="2103"/>
      <c r="I47" s="1455"/>
      <c r="J47" s="1894">
        <f t="shared" si="21"/>
        <v>0</v>
      </c>
      <c r="K47" s="815">
        <f t="shared" si="22"/>
        <v>0</v>
      </c>
      <c r="L47" s="1895">
        <f t="shared" si="23"/>
        <v>0</v>
      </c>
      <c r="M47" s="1029"/>
      <c r="N47" s="2104"/>
      <c r="O47" s="1454"/>
      <c r="P47" s="2103"/>
      <c r="Q47" s="851">
        <f t="shared" si="24"/>
        <v>0</v>
      </c>
      <c r="R47" s="2104"/>
      <c r="S47" s="1454"/>
      <c r="T47" s="1455"/>
      <c r="U47" s="1887">
        <f t="shared" si="4"/>
        <v>0</v>
      </c>
      <c r="V47" s="1455"/>
      <c r="W47" s="1454"/>
      <c r="X47" s="1456"/>
    </row>
    <row r="48" spans="1:24" ht="11.25" customHeight="1" x14ac:dyDescent="0.25">
      <c r="A48" s="1028">
        <f>'Org structure'!E44</f>
        <v>0</v>
      </c>
      <c r="B48" s="171"/>
      <c r="C48" s="1454"/>
      <c r="D48" s="1454"/>
      <c r="E48" s="2103"/>
      <c r="F48" s="2104"/>
      <c r="G48" s="1454"/>
      <c r="H48" s="2103"/>
      <c r="I48" s="1455"/>
      <c r="J48" s="1894">
        <f t="shared" si="21"/>
        <v>0</v>
      </c>
      <c r="K48" s="815">
        <f t="shared" si="22"/>
        <v>0</v>
      </c>
      <c r="L48" s="1895">
        <f t="shared" si="23"/>
        <v>0</v>
      </c>
      <c r="M48" s="1029"/>
      <c r="N48" s="2104"/>
      <c r="O48" s="1454"/>
      <c r="P48" s="2103"/>
      <c r="Q48" s="851">
        <f t="shared" si="24"/>
        <v>0</v>
      </c>
      <c r="R48" s="2104"/>
      <c r="S48" s="1454"/>
      <c r="T48" s="1455"/>
      <c r="U48" s="1887">
        <f t="shared" si="4"/>
        <v>0</v>
      </c>
      <c r="V48" s="1455"/>
      <c r="W48" s="1454"/>
      <c r="X48" s="1456"/>
    </row>
    <row r="49" spans="1:24" ht="11.25" customHeight="1" x14ac:dyDescent="0.25">
      <c r="A49" s="1028">
        <f>'Org structure'!E45</f>
        <v>0</v>
      </c>
      <c r="B49" s="171"/>
      <c r="C49" s="1454"/>
      <c r="D49" s="1454"/>
      <c r="E49" s="2103"/>
      <c r="F49" s="2104"/>
      <c r="G49" s="1454"/>
      <c r="H49" s="2103"/>
      <c r="I49" s="1455"/>
      <c r="J49" s="1894">
        <f t="shared" si="21"/>
        <v>0</v>
      </c>
      <c r="K49" s="815">
        <f t="shared" si="22"/>
        <v>0</v>
      </c>
      <c r="L49" s="1895">
        <f t="shared" si="23"/>
        <v>0</v>
      </c>
      <c r="M49" s="1029"/>
      <c r="N49" s="2104"/>
      <c r="O49" s="1454"/>
      <c r="P49" s="2103"/>
      <c r="Q49" s="851">
        <f t="shared" si="24"/>
        <v>0</v>
      </c>
      <c r="R49" s="2104"/>
      <c r="S49" s="1454"/>
      <c r="T49" s="1455"/>
      <c r="U49" s="1887">
        <f t="shared" si="4"/>
        <v>0</v>
      </c>
      <c r="V49" s="1455"/>
      <c r="W49" s="1454"/>
      <c r="X49" s="1456"/>
    </row>
    <row r="50" spans="1:24" ht="15" customHeight="1" x14ac:dyDescent="0.25">
      <c r="A50" s="1027" t="str">
        <f>'Org structure'!A6</f>
        <v>Vote 5 - COMMUNITY SERVICES MANAGEMENT</v>
      </c>
      <c r="B50" s="854"/>
      <c r="C50" s="849">
        <f>SUM(C51:C60)</f>
        <v>0</v>
      </c>
      <c r="D50" s="849">
        <f t="shared" ref="D50:L50" si="25">SUM(D51:D60)</f>
        <v>0</v>
      </c>
      <c r="E50" s="850">
        <f t="shared" si="25"/>
        <v>0</v>
      </c>
      <c r="F50" s="851">
        <f t="shared" si="25"/>
        <v>0</v>
      </c>
      <c r="G50" s="849">
        <f t="shared" si="25"/>
        <v>0</v>
      </c>
      <c r="H50" s="850">
        <f t="shared" si="25"/>
        <v>0</v>
      </c>
      <c r="I50" s="852">
        <f>SUM(I51:I60)</f>
        <v>0</v>
      </c>
      <c r="J50" s="1894">
        <f t="shared" si="25"/>
        <v>0</v>
      </c>
      <c r="K50" s="815">
        <f t="shared" si="25"/>
        <v>0</v>
      </c>
      <c r="L50" s="1895">
        <f t="shared" si="25"/>
        <v>0</v>
      </c>
      <c r="M50" s="1029"/>
      <c r="N50" s="851">
        <f t="shared" ref="N50:X50" si="26">SUM(N51:N60)</f>
        <v>0</v>
      </c>
      <c r="O50" s="849">
        <f t="shared" si="26"/>
        <v>0</v>
      </c>
      <c r="P50" s="850">
        <f t="shared" si="26"/>
        <v>0</v>
      </c>
      <c r="Q50" s="851">
        <f t="shared" si="26"/>
        <v>0</v>
      </c>
      <c r="R50" s="851">
        <f t="shared" si="26"/>
        <v>0</v>
      </c>
      <c r="S50" s="849">
        <f t="shared" si="26"/>
        <v>0</v>
      </c>
      <c r="T50" s="1891">
        <f t="shared" si="26"/>
        <v>0</v>
      </c>
      <c r="U50" s="1887">
        <f t="shared" si="26"/>
        <v>0</v>
      </c>
      <c r="V50" s="1892">
        <f t="shared" si="26"/>
        <v>0</v>
      </c>
      <c r="W50" s="849">
        <f t="shared" si="26"/>
        <v>0</v>
      </c>
      <c r="X50" s="1893">
        <f t="shared" si="26"/>
        <v>0</v>
      </c>
    </row>
    <row r="51" spans="1:24" ht="11.25" customHeight="1" x14ac:dyDescent="0.25">
      <c r="A51" s="1028" t="str">
        <f>'Org structure'!E47</f>
        <v>5.1 - COMMUNITY SERVICES MANAGEMENT</v>
      </c>
      <c r="B51" s="171"/>
      <c r="C51" s="1454"/>
      <c r="D51" s="1454"/>
      <c r="E51" s="2103"/>
      <c r="F51" s="2104"/>
      <c r="G51" s="1454"/>
      <c r="H51" s="2103"/>
      <c r="I51" s="1455"/>
      <c r="J51" s="1894">
        <f t="shared" ref="J51:J60" si="27">Q51+V51</f>
        <v>0</v>
      </c>
      <c r="K51" s="815">
        <f t="shared" ref="K51:K60" si="28">U51+W51</f>
        <v>0</v>
      </c>
      <c r="L51" s="1895">
        <f t="shared" ref="L51:L60" si="29">X51</f>
        <v>0</v>
      </c>
      <c r="M51" s="1029"/>
      <c r="N51" s="2104"/>
      <c r="O51" s="1454"/>
      <c r="P51" s="2103"/>
      <c r="Q51" s="851">
        <f t="shared" ref="Q51:Q60" si="30">SUM(N51:P51)</f>
        <v>0</v>
      </c>
      <c r="R51" s="2104"/>
      <c r="S51" s="1454"/>
      <c r="T51" s="1455"/>
      <c r="U51" s="1887">
        <f t="shared" si="4"/>
        <v>0</v>
      </c>
      <c r="V51" s="1455"/>
      <c r="W51" s="1454"/>
      <c r="X51" s="1456"/>
    </row>
    <row r="52" spans="1:24" ht="11.25" customHeight="1" x14ac:dyDescent="0.25">
      <c r="A52" s="1028" t="str">
        <f>'Org structure'!E48</f>
        <v>5.2 - LIBRARY</v>
      </c>
      <c r="B52" s="171"/>
      <c r="C52" s="1454"/>
      <c r="D52" s="1454"/>
      <c r="E52" s="2103"/>
      <c r="F52" s="2104"/>
      <c r="G52" s="1454"/>
      <c r="H52" s="2103"/>
      <c r="I52" s="1455"/>
      <c r="J52" s="1894">
        <f t="shared" si="27"/>
        <v>0</v>
      </c>
      <c r="K52" s="815">
        <f t="shared" si="28"/>
        <v>0</v>
      </c>
      <c r="L52" s="1895">
        <f t="shared" si="29"/>
        <v>0</v>
      </c>
      <c r="M52" s="1029"/>
      <c r="N52" s="2104"/>
      <c r="O52" s="1454"/>
      <c r="P52" s="2103"/>
      <c r="Q52" s="851">
        <f t="shared" si="30"/>
        <v>0</v>
      </c>
      <c r="R52" s="2104"/>
      <c r="S52" s="1454"/>
      <c r="T52" s="1455"/>
      <c r="U52" s="1887">
        <f t="shared" si="4"/>
        <v>0</v>
      </c>
      <c r="V52" s="1455"/>
      <c r="W52" s="1454"/>
      <c r="X52" s="1456"/>
    </row>
    <row r="53" spans="1:24" ht="11.25" customHeight="1" x14ac:dyDescent="0.25">
      <c r="A53" s="1028" t="str">
        <f>'Org structure'!E49</f>
        <v>5.3 - HEALTH GENERAL</v>
      </c>
      <c r="B53" s="171"/>
      <c r="C53" s="1454"/>
      <c r="D53" s="1454"/>
      <c r="E53" s="2103"/>
      <c r="F53" s="2104"/>
      <c r="G53" s="1454"/>
      <c r="H53" s="2103"/>
      <c r="I53" s="1455"/>
      <c r="J53" s="1894">
        <f t="shared" si="27"/>
        <v>0</v>
      </c>
      <c r="K53" s="815">
        <f t="shared" si="28"/>
        <v>0</v>
      </c>
      <c r="L53" s="1895">
        <f t="shared" si="29"/>
        <v>0</v>
      </c>
      <c r="M53" s="1029"/>
      <c r="N53" s="2104"/>
      <c r="O53" s="1454"/>
      <c r="P53" s="2103"/>
      <c r="Q53" s="851">
        <f t="shared" si="30"/>
        <v>0</v>
      </c>
      <c r="R53" s="2104"/>
      <c r="S53" s="1454"/>
      <c r="T53" s="1455"/>
      <c r="U53" s="1887">
        <f t="shared" si="4"/>
        <v>0</v>
      </c>
      <c r="V53" s="1455"/>
      <c r="W53" s="1454"/>
      <c r="X53" s="1456"/>
    </row>
    <row r="54" spans="1:24" ht="11.25" customHeight="1" x14ac:dyDescent="0.25">
      <c r="A54" s="1028" t="str">
        <f>'Org structure'!E50</f>
        <v>5.4 - REGISTRATION AUTHORITY</v>
      </c>
      <c r="B54" s="171"/>
      <c r="C54" s="1454"/>
      <c r="D54" s="1454"/>
      <c r="E54" s="2103"/>
      <c r="F54" s="2104"/>
      <c r="G54" s="1454"/>
      <c r="H54" s="2103"/>
      <c r="I54" s="1455"/>
      <c r="J54" s="1894">
        <f t="shared" si="27"/>
        <v>0</v>
      </c>
      <c r="K54" s="815">
        <f t="shared" si="28"/>
        <v>0</v>
      </c>
      <c r="L54" s="1895">
        <f t="shared" si="29"/>
        <v>0</v>
      </c>
      <c r="M54" s="1029"/>
      <c r="N54" s="2104"/>
      <c r="O54" s="1454"/>
      <c r="P54" s="2103"/>
      <c r="Q54" s="851">
        <f t="shared" si="30"/>
        <v>0</v>
      </c>
      <c r="R54" s="2104"/>
      <c r="S54" s="1454"/>
      <c r="T54" s="1455"/>
      <c r="U54" s="1887">
        <f t="shared" si="4"/>
        <v>0</v>
      </c>
      <c r="V54" s="1455"/>
      <c r="W54" s="1454"/>
      <c r="X54" s="1456"/>
    </row>
    <row r="55" spans="1:24" ht="11.25" customHeight="1" x14ac:dyDescent="0.25">
      <c r="A55" s="1028" t="str">
        <f>'Org structure'!E51</f>
        <v>5.5 - LICENCING &amp; TRAFFIC</v>
      </c>
      <c r="B55" s="171"/>
      <c r="C55" s="1454"/>
      <c r="D55" s="1454"/>
      <c r="E55" s="2103"/>
      <c r="F55" s="2104"/>
      <c r="G55" s="1454"/>
      <c r="H55" s="2103"/>
      <c r="I55" s="1455"/>
      <c r="J55" s="1894">
        <f t="shared" si="27"/>
        <v>0</v>
      </c>
      <c r="K55" s="815">
        <f t="shared" si="28"/>
        <v>0</v>
      </c>
      <c r="L55" s="1895">
        <f t="shared" si="29"/>
        <v>0</v>
      </c>
      <c r="M55" s="1029"/>
      <c r="N55" s="2104"/>
      <c r="O55" s="1454"/>
      <c r="P55" s="2103"/>
      <c r="Q55" s="851">
        <f t="shared" si="30"/>
        <v>0</v>
      </c>
      <c r="R55" s="2104"/>
      <c r="S55" s="1454"/>
      <c r="T55" s="1455"/>
      <c r="U55" s="1887">
        <f t="shared" si="4"/>
        <v>0</v>
      </c>
      <c r="V55" s="1455"/>
      <c r="W55" s="1454"/>
      <c r="X55" s="1456"/>
    </row>
    <row r="56" spans="1:24" ht="11.25" customHeight="1" x14ac:dyDescent="0.25">
      <c r="A56" s="1028" t="str">
        <f>'Org structure'!E52</f>
        <v>5.6 - PARKS &amp; CEMETRIES</v>
      </c>
      <c r="B56" s="171"/>
      <c r="C56" s="1454"/>
      <c r="D56" s="1454"/>
      <c r="E56" s="2103"/>
      <c r="F56" s="2104"/>
      <c r="G56" s="1454"/>
      <c r="H56" s="2103"/>
      <c r="I56" s="1455"/>
      <c r="J56" s="1894">
        <f t="shared" si="27"/>
        <v>0</v>
      </c>
      <c r="K56" s="815">
        <f t="shared" si="28"/>
        <v>0</v>
      </c>
      <c r="L56" s="1895">
        <f t="shared" si="29"/>
        <v>0</v>
      </c>
      <c r="M56" s="1029"/>
      <c r="N56" s="2104"/>
      <c r="O56" s="1454"/>
      <c r="P56" s="2103"/>
      <c r="Q56" s="851">
        <f t="shared" si="30"/>
        <v>0</v>
      </c>
      <c r="R56" s="2104"/>
      <c r="S56" s="1454"/>
      <c r="T56" s="1455"/>
      <c r="U56" s="1887">
        <f t="shared" si="4"/>
        <v>0</v>
      </c>
      <c r="V56" s="1455"/>
      <c r="W56" s="1454"/>
      <c r="X56" s="1456"/>
    </row>
    <row r="57" spans="1:24" ht="11.25" customHeight="1" x14ac:dyDescent="0.25">
      <c r="A57" s="1028" t="str">
        <f>'Org structure'!E53</f>
        <v>5.7 - SOLID WASTE</v>
      </c>
      <c r="B57" s="171"/>
      <c r="C57" s="1454"/>
      <c r="D57" s="1454"/>
      <c r="E57" s="2103"/>
      <c r="F57" s="2104"/>
      <c r="G57" s="1454"/>
      <c r="H57" s="2103"/>
      <c r="I57" s="1455"/>
      <c r="J57" s="1894">
        <f t="shared" si="27"/>
        <v>0</v>
      </c>
      <c r="K57" s="815">
        <f t="shared" si="28"/>
        <v>0</v>
      </c>
      <c r="L57" s="1895">
        <f t="shared" si="29"/>
        <v>0</v>
      </c>
      <c r="M57" s="1029"/>
      <c r="N57" s="2104"/>
      <c r="O57" s="1454"/>
      <c r="P57" s="2103"/>
      <c r="Q57" s="851">
        <f t="shared" si="30"/>
        <v>0</v>
      </c>
      <c r="R57" s="2104"/>
      <c r="S57" s="1454"/>
      <c r="T57" s="1455"/>
      <c r="U57" s="1887">
        <f t="shared" si="4"/>
        <v>0</v>
      </c>
      <c r="V57" s="1455"/>
      <c r="W57" s="1454"/>
      <c r="X57" s="1456"/>
    </row>
    <row r="58" spans="1:24" ht="11.25" customHeight="1" x14ac:dyDescent="0.25">
      <c r="A58" s="1028" t="str">
        <f>'Org structure'!E54</f>
        <v>5.8 - SPORTS ARTS AND CULTURE</v>
      </c>
      <c r="B58" s="171"/>
      <c r="C58" s="1454"/>
      <c r="D58" s="1454"/>
      <c r="E58" s="2103"/>
      <c r="F58" s="2104"/>
      <c r="G58" s="1454"/>
      <c r="H58" s="2103"/>
      <c r="I58" s="1455"/>
      <c r="J58" s="1894">
        <f t="shared" si="27"/>
        <v>0</v>
      </c>
      <c r="K58" s="815">
        <f t="shared" si="28"/>
        <v>0</v>
      </c>
      <c r="L58" s="1895">
        <f t="shared" si="29"/>
        <v>0</v>
      </c>
      <c r="M58" s="1029"/>
      <c r="N58" s="2104"/>
      <c r="O58" s="1454"/>
      <c r="P58" s="2103"/>
      <c r="Q58" s="851">
        <f t="shared" si="30"/>
        <v>0</v>
      </c>
      <c r="R58" s="2104"/>
      <c r="S58" s="1454"/>
      <c r="T58" s="1455"/>
      <c r="U58" s="1887">
        <f t="shared" si="4"/>
        <v>0</v>
      </c>
      <c r="V58" s="1455"/>
      <c r="W58" s="1454"/>
      <c r="X58" s="1456"/>
    </row>
    <row r="59" spans="1:24" ht="11.25" customHeight="1" x14ac:dyDescent="0.25">
      <c r="A59" s="1028" t="str">
        <f>'Org structure'!E55</f>
        <v>5.9 - HIV/AIDS</v>
      </c>
      <c r="B59" s="171"/>
      <c r="C59" s="1454"/>
      <c r="D59" s="1454"/>
      <c r="E59" s="2103"/>
      <c r="F59" s="2104"/>
      <c r="G59" s="1454"/>
      <c r="H59" s="2103"/>
      <c r="I59" s="1455"/>
      <c r="J59" s="1894">
        <f t="shared" si="27"/>
        <v>0</v>
      </c>
      <c r="K59" s="815">
        <f t="shared" si="28"/>
        <v>0</v>
      </c>
      <c r="L59" s="1895">
        <f t="shared" si="29"/>
        <v>0</v>
      </c>
      <c r="M59" s="1029"/>
      <c r="N59" s="2104"/>
      <c r="O59" s="1454"/>
      <c r="P59" s="2103"/>
      <c r="Q59" s="851">
        <f t="shared" si="30"/>
        <v>0</v>
      </c>
      <c r="R59" s="2104"/>
      <c r="S59" s="1454"/>
      <c r="T59" s="1455"/>
      <c r="U59" s="1887">
        <f t="shared" si="4"/>
        <v>0</v>
      </c>
      <c r="V59" s="1455"/>
      <c r="W59" s="1454"/>
      <c r="X59" s="1456"/>
    </row>
    <row r="60" spans="1:24" ht="11.25" customHeight="1" x14ac:dyDescent="0.25">
      <c r="A60" s="1028">
        <f>'Org structure'!E56</f>
        <v>0</v>
      </c>
      <c r="B60" s="171"/>
      <c r="C60" s="1454"/>
      <c r="D60" s="1454"/>
      <c r="E60" s="2103"/>
      <c r="F60" s="2104"/>
      <c r="G60" s="1454"/>
      <c r="H60" s="2103"/>
      <c r="I60" s="1455"/>
      <c r="J60" s="1894">
        <f t="shared" si="27"/>
        <v>0</v>
      </c>
      <c r="K60" s="815">
        <f t="shared" si="28"/>
        <v>0</v>
      </c>
      <c r="L60" s="1895">
        <f t="shared" si="29"/>
        <v>0</v>
      </c>
      <c r="M60" s="1029"/>
      <c r="N60" s="2104"/>
      <c r="O60" s="1454"/>
      <c r="P60" s="2103"/>
      <c r="Q60" s="851">
        <f t="shared" si="30"/>
        <v>0</v>
      </c>
      <c r="R60" s="2104"/>
      <c r="S60" s="1454"/>
      <c r="T60" s="1455"/>
      <c r="U60" s="1887">
        <f t="shared" si="4"/>
        <v>0</v>
      </c>
      <c r="V60" s="1455"/>
      <c r="W60" s="1454"/>
      <c r="X60" s="1456"/>
    </row>
    <row r="61" spans="1:24" ht="15" customHeight="1" x14ac:dyDescent="0.25">
      <c r="A61" s="1027" t="str">
        <f>'Org structure'!A7</f>
        <v>Vote 6 - TECHNICAL SERVICES</v>
      </c>
      <c r="B61" s="854"/>
      <c r="C61" s="849">
        <f>SUM(C62:C71)</f>
        <v>0</v>
      </c>
      <c r="D61" s="849">
        <f t="shared" ref="D61:L61" si="31">SUM(D62:D71)</f>
        <v>0</v>
      </c>
      <c r="E61" s="850">
        <f t="shared" si="31"/>
        <v>0</v>
      </c>
      <c r="F61" s="851">
        <f t="shared" si="31"/>
        <v>0</v>
      </c>
      <c r="G61" s="849">
        <f t="shared" si="31"/>
        <v>0</v>
      </c>
      <c r="H61" s="850">
        <f t="shared" si="31"/>
        <v>0</v>
      </c>
      <c r="I61" s="852">
        <f>SUM(I62:I71)</f>
        <v>0</v>
      </c>
      <c r="J61" s="1894">
        <f t="shared" si="31"/>
        <v>0</v>
      </c>
      <c r="K61" s="815">
        <f t="shared" si="31"/>
        <v>0</v>
      </c>
      <c r="L61" s="1895">
        <f t="shared" si="31"/>
        <v>0</v>
      </c>
      <c r="M61" s="1029"/>
      <c r="N61" s="851">
        <f t="shared" ref="N61:X61" si="32">SUM(N62:N71)</f>
        <v>0</v>
      </c>
      <c r="O61" s="849">
        <f t="shared" si="32"/>
        <v>0</v>
      </c>
      <c r="P61" s="850">
        <f t="shared" si="32"/>
        <v>0</v>
      </c>
      <c r="Q61" s="851">
        <f t="shared" si="32"/>
        <v>0</v>
      </c>
      <c r="R61" s="851">
        <f t="shared" si="32"/>
        <v>0</v>
      </c>
      <c r="S61" s="849">
        <f t="shared" si="32"/>
        <v>0</v>
      </c>
      <c r="T61" s="1891">
        <f t="shared" si="32"/>
        <v>0</v>
      </c>
      <c r="U61" s="1887">
        <f t="shared" si="32"/>
        <v>0</v>
      </c>
      <c r="V61" s="1892">
        <f t="shared" si="32"/>
        <v>0</v>
      </c>
      <c r="W61" s="849">
        <f t="shared" si="32"/>
        <v>0</v>
      </c>
      <c r="X61" s="1893">
        <f t="shared" si="32"/>
        <v>0</v>
      </c>
    </row>
    <row r="62" spans="1:24" ht="11.25" customHeight="1" x14ac:dyDescent="0.25">
      <c r="A62" s="1028" t="str">
        <f>'Org structure'!E58</f>
        <v>6.1 - ELECTRICITY</v>
      </c>
      <c r="B62" s="171"/>
      <c r="C62" s="1454"/>
      <c r="D62" s="1454"/>
      <c r="E62" s="2103"/>
      <c r="F62" s="2104"/>
      <c r="G62" s="1454"/>
      <c r="H62" s="2103"/>
      <c r="I62" s="1455"/>
      <c r="J62" s="1894">
        <f t="shared" ref="J62:J71" si="33">Q62+V62</f>
        <v>0</v>
      </c>
      <c r="K62" s="815">
        <f t="shared" ref="K62:K71" si="34">U62+W62</f>
        <v>0</v>
      </c>
      <c r="L62" s="1895">
        <f t="shared" ref="L62:L71" si="35">X62</f>
        <v>0</v>
      </c>
      <c r="M62" s="1029"/>
      <c r="N62" s="2104"/>
      <c r="O62" s="1454"/>
      <c r="P62" s="2103"/>
      <c r="Q62" s="851">
        <f t="shared" ref="Q62:Q71" si="36">SUM(N62:P62)</f>
        <v>0</v>
      </c>
      <c r="R62" s="2104"/>
      <c r="S62" s="1454"/>
      <c r="T62" s="1455"/>
      <c r="U62" s="1887">
        <f t="shared" si="4"/>
        <v>0</v>
      </c>
      <c r="V62" s="1455"/>
      <c r="W62" s="1454"/>
      <c r="X62" s="1456"/>
    </row>
    <row r="63" spans="1:24" ht="11.25" customHeight="1" x14ac:dyDescent="0.25">
      <c r="A63" s="1028" t="str">
        <f>'Org structure'!E59</f>
        <v>6.2 - WATER SERVICES</v>
      </c>
      <c r="B63" s="171"/>
      <c r="C63" s="1454"/>
      <c r="D63" s="1454"/>
      <c r="E63" s="2103"/>
      <c r="F63" s="2104"/>
      <c r="G63" s="1454"/>
      <c r="H63" s="2103"/>
      <c r="I63" s="1455"/>
      <c r="J63" s="1894">
        <f t="shared" si="33"/>
        <v>0</v>
      </c>
      <c r="K63" s="815">
        <f t="shared" si="34"/>
        <v>0</v>
      </c>
      <c r="L63" s="1895">
        <f t="shared" si="35"/>
        <v>0</v>
      </c>
      <c r="M63" s="1029"/>
      <c r="N63" s="2104"/>
      <c r="O63" s="1454"/>
      <c r="P63" s="2103"/>
      <c r="Q63" s="851">
        <f t="shared" si="36"/>
        <v>0</v>
      </c>
      <c r="R63" s="2104"/>
      <c r="S63" s="1454"/>
      <c r="T63" s="1455"/>
      <c r="U63" s="1887">
        <f t="shared" si="4"/>
        <v>0</v>
      </c>
      <c r="V63" s="1455"/>
      <c r="W63" s="1454"/>
      <c r="X63" s="1456"/>
    </row>
    <row r="64" spans="1:24" ht="11.25" customHeight="1" x14ac:dyDescent="0.25">
      <c r="A64" s="1028" t="e">
        <f>'Org structure'!#REF!</f>
        <v>#REF!</v>
      </c>
      <c r="B64" s="171"/>
      <c r="C64" s="1454"/>
      <c r="D64" s="1454"/>
      <c r="E64" s="2103"/>
      <c r="F64" s="2104"/>
      <c r="G64" s="1454"/>
      <c r="H64" s="2103"/>
      <c r="I64" s="1455"/>
      <c r="J64" s="1894">
        <f t="shared" si="33"/>
        <v>0</v>
      </c>
      <c r="K64" s="815">
        <f t="shared" si="34"/>
        <v>0</v>
      </c>
      <c r="L64" s="1895">
        <f t="shared" si="35"/>
        <v>0</v>
      </c>
      <c r="M64" s="1029"/>
      <c r="N64" s="2104"/>
      <c r="O64" s="1454"/>
      <c r="P64" s="2103"/>
      <c r="Q64" s="851">
        <f t="shared" si="36"/>
        <v>0</v>
      </c>
      <c r="R64" s="2104"/>
      <c r="S64" s="1454"/>
      <c r="T64" s="1455"/>
      <c r="U64" s="1887">
        <f t="shared" si="4"/>
        <v>0</v>
      </c>
      <c r="V64" s="1455"/>
      <c r="W64" s="1454"/>
      <c r="X64" s="1456"/>
    </row>
    <row r="65" spans="1:24" ht="11.25" customHeight="1" x14ac:dyDescent="0.25">
      <c r="A65" s="1028" t="str">
        <f>'Org structure'!E60</f>
        <v>6.3 - TECHNICAL SERVICES MANAGEMENT</v>
      </c>
      <c r="B65" s="171"/>
      <c r="C65" s="1454"/>
      <c r="D65" s="1454"/>
      <c r="E65" s="2103"/>
      <c r="F65" s="2104"/>
      <c r="G65" s="1454"/>
      <c r="H65" s="2103"/>
      <c r="I65" s="1455"/>
      <c r="J65" s="1894">
        <f t="shared" si="33"/>
        <v>0</v>
      </c>
      <c r="K65" s="815">
        <f t="shared" si="34"/>
        <v>0</v>
      </c>
      <c r="L65" s="1895">
        <f t="shared" si="35"/>
        <v>0</v>
      </c>
      <c r="M65" s="1029"/>
      <c r="N65" s="2104"/>
      <c r="O65" s="1454"/>
      <c r="P65" s="2103"/>
      <c r="Q65" s="851">
        <f t="shared" si="36"/>
        <v>0</v>
      </c>
      <c r="R65" s="2104"/>
      <c r="S65" s="1454"/>
      <c r="T65" s="1455"/>
      <c r="U65" s="1887">
        <f t="shared" si="4"/>
        <v>0</v>
      </c>
      <c r="V65" s="1455"/>
      <c r="W65" s="1454"/>
      <c r="X65" s="1456"/>
    </row>
    <row r="66" spans="1:24" ht="11.25" customHeight="1" x14ac:dyDescent="0.25">
      <c r="A66" s="1028" t="e">
        <f>'Org structure'!#REF!</f>
        <v>#REF!</v>
      </c>
      <c r="B66" s="171"/>
      <c r="C66" s="1454"/>
      <c r="D66" s="1454"/>
      <c r="E66" s="2103"/>
      <c r="F66" s="2104"/>
      <c r="G66" s="1454"/>
      <c r="H66" s="2103"/>
      <c r="I66" s="1455"/>
      <c r="J66" s="1894">
        <f t="shared" si="33"/>
        <v>0</v>
      </c>
      <c r="K66" s="815">
        <f t="shared" si="34"/>
        <v>0</v>
      </c>
      <c r="L66" s="1895">
        <f t="shared" si="35"/>
        <v>0</v>
      </c>
      <c r="M66" s="1029"/>
      <c r="N66" s="2104"/>
      <c r="O66" s="1454"/>
      <c r="P66" s="2103"/>
      <c r="Q66" s="851">
        <f t="shared" si="36"/>
        <v>0</v>
      </c>
      <c r="R66" s="2104"/>
      <c r="S66" s="1454"/>
      <c r="T66" s="1455"/>
      <c r="U66" s="1887">
        <f t="shared" si="4"/>
        <v>0</v>
      </c>
      <c r="V66" s="1455"/>
      <c r="W66" s="1454"/>
      <c r="X66" s="1456"/>
    </row>
    <row r="67" spans="1:24" ht="11.25" customHeight="1" x14ac:dyDescent="0.25">
      <c r="A67" s="1028" t="e">
        <f>'Org structure'!#REF!</f>
        <v>#REF!</v>
      </c>
      <c r="B67" s="171"/>
      <c r="C67" s="1454"/>
      <c r="D67" s="1454"/>
      <c r="E67" s="2103"/>
      <c r="F67" s="2104"/>
      <c r="G67" s="1454"/>
      <c r="H67" s="2103"/>
      <c r="I67" s="1455"/>
      <c r="J67" s="1894">
        <f t="shared" si="33"/>
        <v>0</v>
      </c>
      <c r="K67" s="815">
        <f t="shared" si="34"/>
        <v>0</v>
      </c>
      <c r="L67" s="1895">
        <f t="shared" si="35"/>
        <v>0</v>
      </c>
      <c r="M67" s="1029"/>
      <c r="N67" s="2104"/>
      <c r="O67" s="1454"/>
      <c r="P67" s="2103"/>
      <c r="Q67" s="851">
        <f t="shared" si="36"/>
        <v>0</v>
      </c>
      <c r="R67" s="2104"/>
      <c r="S67" s="1454"/>
      <c r="T67" s="1455"/>
      <c r="U67" s="1887">
        <f t="shared" si="4"/>
        <v>0</v>
      </c>
      <c r="V67" s="1455"/>
      <c r="W67" s="1454"/>
      <c r="X67" s="1456"/>
    </row>
    <row r="68" spans="1:24" ht="11.25" customHeight="1" x14ac:dyDescent="0.25">
      <c r="A68" s="1028" t="str">
        <f>'Org structure'!E61</f>
        <v>6.4 - HOUSING &amp; BUILDING CONTROL</v>
      </c>
      <c r="B68" s="171"/>
      <c r="C68" s="1454"/>
      <c r="D68" s="1454"/>
      <c r="E68" s="2103"/>
      <c r="F68" s="2104"/>
      <c r="G68" s="1454"/>
      <c r="H68" s="2103"/>
      <c r="I68" s="1455"/>
      <c r="J68" s="1894">
        <f t="shared" si="33"/>
        <v>0</v>
      </c>
      <c r="K68" s="815">
        <f t="shared" si="34"/>
        <v>0</v>
      </c>
      <c r="L68" s="1895">
        <f t="shared" si="35"/>
        <v>0</v>
      </c>
      <c r="M68" s="1029"/>
      <c r="N68" s="2104"/>
      <c r="O68" s="1454"/>
      <c r="P68" s="2103"/>
      <c r="Q68" s="851">
        <f t="shared" si="36"/>
        <v>0</v>
      </c>
      <c r="R68" s="2104"/>
      <c r="S68" s="1454"/>
      <c r="T68" s="1455"/>
      <c r="U68" s="1887">
        <f t="shared" si="4"/>
        <v>0</v>
      </c>
      <c r="V68" s="1455"/>
      <c r="W68" s="1454"/>
      <c r="X68" s="1456"/>
    </row>
    <row r="69" spans="1:24" ht="11.25" customHeight="1" x14ac:dyDescent="0.25">
      <c r="A69" s="1028" t="str">
        <f>'Org structure'!E62</f>
        <v>6.5 - ROADS &amp; STORMWATER</v>
      </c>
      <c r="B69" s="171"/>
      <c r="C69" s="1454"/>
      <c r="D69" s="1454"/>
      <c r="E69" s="2103"/>
      <c r="F69" s="2104"/>
      <c r="G69" s="1454"/>
      <c r="H69" s="2103"/>
      <c r="I69" s="1455"/>
      <c r="J69" s="1894">
        <f t="shared" si="33"/>
        <v>0</v>
      </c>
      <c r="K69" s="815">
        <f t="shared" si="34"/>
        <v>0</v>
      </c>
      <c r="L69" s="1895">
        <f t="shared" si="35"/>
        <v>0</v>
      </c>
      <c r="M69" s="1029"/>
      <c r="N69" s="2104"/>
      <c r="O69" s="1454"/>
      <c r="P69" s="2103"/>
      <c r="Q69" s="851">
        <f t="shared" si="36"/>
        <v>0</v>
      </c>
      <c r="R69" s="2104"/>
      <c r="S69" s="1454"/>
      <c r="T69" s="1455"/>
      <c r="U69" s="1887">
        <f t="shared" si="4"/>
        <v>0</v>
      </c>
      <c r="V69" s="1455"/>
      <c r="W69" s="1454"/>
      <c r="X69" s="1456"/>
    </row>
    <row r="70" spans="1:24" ht="11.25" customHeight="1" x14ac:dyDescent="0.25">
      <c r="A70" s="1028" t="str">
        <f>'Org structure'!E63</f>
        <v>6.6 - FLEET MANAGEMENT</v>
      </c>
      <c r="B70" s="171"/>
      <c r="C70" s="1454"/>
      <c r="D70" s="1454"/>
      <c r="E70" s="2103"/>
      <c r="F70" s="2104"/>
      <c r="G70" s="1454"/>
      <c r="H70" s="2103"/>
      <c r="I70" s="1455"/>
      <c r="J70" s="1894">
        <f t="shared" si="33"/>
        <v>0</v>
      </c>
      <c r="K70" s="815">
        <f t="shared" si="34"/>
        <v>0</v>
      </c>
      <c r="L70" s="1895">
        <f t="shared" si="35"/>
        <v>0</v>
      </c>
      <c r="M70" s="1029"/>
      <c r="N70" s="2104"/>
      <c r="O70" s="1454"/>
      <c r="P70" s="2103"/>
      <c r="Q70" s="851">
        <f t="shared" si="36"/>
        <v>0</v>
      </c>
      <c r="R70" s="2104"/>
      <c r="S70" s="1454"/>
      <c r="T70" s="1455"/>
      <c r="U70" s="1887">
        <f t="shared" si="4"/>
        <v>0</v>
      </c>
      <c r="V70" s="1455"/>
      <c r="W70" s="1454"/>
      <c r="X70" s="1456"/>
    </row>
    <row r="71" spans="1:24" ht="11.25" customHeight="1" x14ac:dyDescent="0.25">
      <c r="A71" s="1028" t="str">
        <f>'Org structure'!E64</f>
        <v>6.7 - SEWERAGE NETWORK</v>
      </c>
      <c r="B71" s="171"/>
      <c r="C71" s="1454"/>
      <c r="D71" s="1454"/>
      <c r="E71" s="2103"/>
      <c r="F71" s="2104"/>
      <c r="G71" s="1454"/>
      <c r="H71" s="2103"/>
      <c r="I71" s="1455"/>
      <c r="J71" s="1894">
        <f t="shared" si="33"/>
        <v>0</v>
      </c>
      <c r="K71" s="815">
        <f t="shared" si="34"/>
        <v>0</v>
      </c>
      <c r="L71" s="1895">
        <f t="shared" si="35"/>
        <v>0</v>
      </c>
      <c r="M71" s="1029"/>
      <c r="N71" s="2104"/>
      <c r="O71" s="1454"/>
      <c r="P71" s="2103"/>
      <c r="Q71" s="851">
        <f t="shared" si="36"/>
        <v>0</v>
      </c>
      <c r="R71" s="2104"/>
      <c r="S71" s="1454"/>
      <c r="T71" s="1455"/>
      <c r="U71" s="1887">
        <f t="shared" si="4"/>
        <v>0</v>
      </c>
      <c r="V71" s="1455"/>
      <c r="W71" s="1454"/>
      <c r="X71" s="1456"/>
    </row>
    <row r="72" spans="1:24" ht="15" customHeight="1" x14ac:dyDescent="0.25">
      <c r="A72" s="1027" t="str">
        <f>'Org structure'!A8</f>
        <v xml:space="preserve">Vote 7 - </v>
      </c>
      <c r="B72" s="854"/>
      <c r="C72" s="849">
        <f t="shared" ref="C72:L72" si="37">SUM(C73:C82)</f>
        <v>0</v>
      </c>
      <c r="D72" s="849">
        <f t="shared" si="37"/>
        <v>0</v>
      </c>
      <c r="E72" s="850">
        <f t="shared" si="37"/>
        <v>0</v>
      </c>
      <c r="F72" s="851">
        <f t="shared" si="37"/>
        <v>0</v>
      </c>
      <c r="G72" s="849">
        <f t="shared" si="37"/>
        <v>0</v>
      </c>
      <c r="H72" s="850">
        <f t="shared" si="37"/>
        <v>0</v>
      </c>
      <c r="I72" s="852">
        <f t="shared" si="37"/>
        <v>0</v>
      </c>
      <c r="J72" s="1894">
        <f t="shared" si="37"/>
        <v>0</v>
      </c>
      <c r="K72" s="815">
        <f t="shared" si="37"/>
        <v>0</v>
      </c>
      <c r="L72" s="1895">
        <f t="shared" si="37"/>
        <v>0</v>
      </c>
      <c r="M72" s="1029"/>
      <c r="N72" s="851">
        <f t="shared" ref="N72:X72" si="38">SUM(N73:N82)</f>
        <v>0</v>
      </c>
      <c r="O72" s="849">
        <f t="shared" si="38"/>
        <v>0</v>
      </c>
      <c r="P72" s="850">
        <f t="shared" si="38"/>
        <v>0</v>
      </c>
      <c r="Q72" s="851">
        <f t="shared" si="38"/>
        <v>0</v>
      </c>
      <c r="R72" s="851">
        <f t="shared" si="38"/>
        <v>0</v>
      </c>
      <c r="S72" s="849">
        <f t="shared" si="38"/>
        <v>0</v>
      </c>
      <c r="T72" s="1891">
        <f t="shared" si="38"/>
        <v>0</v>
      </c>
      <c r="U72" s="1887">
        <f t="shared" si="38"/>
        <v>0</v>
      </c>
      <c r="V72" s="1892">
        <f t="shared" si="38"/>
        <v>0</v>
      </c>
      <c r="W72" s="849">
        <f t="shared" si="38"/>
        <v>0</v>
      </c>
      <c r="X72" s="1893">
        <f t="shared" si="38"/>
        <v>0</v>
      </c>
    </row>
    <row r="73" spans="1:24" ht="11.25" customHeight="1" x14ac:dyDescent="0.25">
      <c r="A73" s="1028">
        <f>'Org structure'!E66</f>
        <v>0</v>
      </c>
      <c r="B73" s="171"/>
      <c r="C73" s="1454"/>
      <c r="D73" s="1454"/>
      <c r="E73" s="2103"/>
      <c r="F73" s="2104"/>
      <c r="G73" s="1454"/>
      <c r="H73" s="2103"/>
      <c r="I73" s="1455"/>
      <c r="J73" s="1894">
        <f t="shared" ref="J73:J82" si="39">Q73+V73</f>
        <v>0</v>
      </c>
      <c r="K73" s="815">
        <f t="shared" ref="K73:K82" si="40">U73+W73</f>
        <v>0</v>
      </c>
      <c r="L73" s="1895">
        <f t="shared" ref="L73:L82" si="41">X73</f>
        <v>0</v>
      </c>
      <c r="M73" s="1029"/>
      <c r="N73" s="2104"/>
      <c r="O73" s="1454"/>
      <c r="P73" s="2103"/>
      <c r="Q73" s="851">
        <f t="shared" ref="Q73:Q82" si="42">SUM(N73:P73)</f>
        <v>0</v>
      </c>
      <c r="R73" s="2104"/>
      <c r="S73" s="1454"/>
      <c r="T73" s="1455"/>
      <c r="U73" s="1887">
        <f t="shared" ref="U73:U135" si="43">SUM(R73:T73)</f>
        <v>0</v>
      </c>
      <c r="V73" s="1455"/>
      <c r="W73" s="1454"/>
      <c r="X73" s="1456"/>
    </row>
    <row r="74" spans="1:24" ht="11.25" customHeight="1" x14ac:dyDescent="0.25">
      <c r="A74" s="1028">
        <f>'Org structure'!E67</f>
        <v>0</v>
      </c>
      <c r="B74" s="171"/>
      <c r="C74" s="1454"/>
      <c r="D74" s="1454"/>
      <c r="E74" s="2103"/>
      <c r="F74" s="2104"/>
      <c r="G74" s="1454"/>
      <c r="H74" s="2103"/>
      <c r="I74" s="1455"/>
      <c r="J74" s="1894">
        <f t="shared" si="39"/>
        <v>0</v>
      </c>
      <c r="K74" s="815">
        <f t="shared" si="40"/>
        <v>0</v>
      </c>
      <c r="L74" s="1895">
        <f t="shared" si="41"/>
        <v>0</v>
      </c>
      <c r="M74" s="1029"/>
      <c r="N74" s="2104"/>
      <c r="O74" s="1454"/>
      <c r="P74" s="2103"/>
      <c r="Q74" s="851">
        <f t="shared" si="42"/>
        <v>0</v>
      </c>
      <c r="R74" s="2104"/>
      <c r="S74" s="1454"/>
      <c r="T74" s="1455"/>
      <c r="U74" s="1887">
        <f t="shared" si="43"/>
        <v>0</v>
      </c>
      <c r="V74" s="1455"/>
      <c r="W74" s="1454"/>
      <c r="X74" s="1456"/>
    </row>
    <row r="75" spans="1:24" ht="11.25" customHeight="1" x14ac:dyDescent="0.25">
      <c r="A75" s="1028">
        <f>'Org structure'!E68</f>
        <v>0</v>
      </c>
      <c r="B75" s="171"/>
      <c r="C75" s="1454"/>
      <c r="D75" s="1454"/>
      <c r="E75" s="2103"/>
      <c r="F75" s="2104"/>
      <c r="G75" s="1454"/>
      <c r="H75" s="2103"/>
      <c r="I75" s="1455"/>
      <c r="J75" s="1894">
        <f t="shared" si="39"/>
        <v>0</v>
      </c>
      <c r="K75" s="815">
        <f t="shared" si="40"/>
        <v>0</v>
      </c>
      <c r="L75" s="1895">
        <f t="shared" si="41"/>
        <v>0</v>
      </c>
      <c r="M75" s="1029"/>
      <c r="N75" s="2104"/>
      <c r="O75" s="1454"/>
      <c r="P75" s="2103"/>
      <c r="Q75" s="851">
        <f t="shared" si="42"/>
        <v>0</v>
      </c>
      <c r="R75" s="2104"/>
      <c r="S75" s="1454"/>
      <c r="T75" s="1455"/>
      <c r="U75" s="1887">
        <f t="shared" si="43"/>
        <v>0</v>
      </c>
      <c r="V75" s="1455"/>
      <c r="W75" s="1454"/>
      <c r="X75" s="1456"/>
    </row>
    <row r="76" spans="1:24" ht="11.25" customHeight="1" x14ac:dyDescent="0.25">
      <c r="A76" s="1028" t="str">
        <f>'Org structure'!E69</f>
        <v>7.4 - HOUSING &amp; BUILDING CONTROL</v>
      </c>
      <c r="B76" s="171"/>
      <c r="C76" s="1454"/>
      <c r="D76" s="1454"/>
      <c r="E76" s="2103"/>
      <c r="F76" s="2104"/>
      <c r="G76" s="1454"/>
      <c r="H76" s="2103"/>
      <c r="I76" s="1455"/>
      <c r="J76" s="1894">
        <f t="shared" si="39"/>
        <v>0</v>
      </c>
      <c r="K76" s="815">
        <f t="shared" si="40"/>
        <v>0</v>
      </c>
      <c r="L76" s="1895">
        <f t="shared" si="41"/>
        <v>0</v>
      </c>
      <c r="M76" s="1029"/>
      <c r="N76" s="2104"/>
      <c r="O76" s="1454"/>
      <c r="P76" s="2103"/>
      <c r="Q76" s="851">
        <f t="shared" si="42"/>
        <v>0</v>
      </c>
      <c r="R76" s="2104"/>
      <c r="S76" s="1454"/>
      <c r="T76" s="1455"/>
      <c r="U76" s="1887">
        <f t="shared" si="43"/>
        <v>0</v>
      </c>
      <c r="V76" s="1455"/>
      <c r="W76" s="1454"/>
      <c r="X76" s="1456"/>
    </row>
    <row r="77" spans="1:24" ht="11.25" customHeight="1" x14ac:dyDescent="0.25">
      <c r="A77" s="1028" t="str">
        <f>'Org structure'!E70</f>
        <v>7.5 - URBAN RENEWAL</v>
      </c>
      <c r="B77" s="171"/>
      <c r="C77" s="1454"/>
      <c r="D77" s="1454"/>
      <c r="E77" s="2103"/>
      <c r="F77" s="2104"/>
      <c r="G77" s="1454"/>
      <c r="H77" s="2103"/>
      <c r="I77" s="1455"/>
      <c r="J77" s="1894">
        <f t="shared" si="39"/>
        <v>0</v>
      </c>
      <c r="K77" s="815">
        <f t="shared" si="40"/>
        <v>0</v>
      </c>
      <c r="L77" s="1895">
        <f t="shared" si="41"/>
        <v>0</v>
      </c>
      <c r="M77" s="1029"/>
      <c r="N77" s="2104"/>
      <c r="O77" s="1454"/>
      <c r="P77" s="2103"/>
      <c r="Q77" s="851">
        <f t="shared" si="42"/>
        <v>0</v>
      </c>
      <c r="R77" s="2104"/>
      <c r="S77" s="1454"/>
      <c r="T77" s="1455"/>
      <c r="U77" s="1887">
        <f t="shared" si="43"/>
        <v>0</v>
      </c>
      <c r="V77" s="1455"/>
      <c r="W77" s="1454"/>
      <c r="X77" s="1456"/>
    </row>
    <row r="78" spans="1:24" ht="11.25" customHeight="1" x14ac:dyDescent="0.25">
      <c r="A78" s="1028">
        <f>'Org structure'!E71</f>
        <v>0</v>
      </c>
      <c r="B78" s="171"/>
      <c r="C78" s="1454"/>
      <c r="D78" s="1454"/>
      <c r="E78" s="2103"/>
      <c r="F78" s="2104"/>
      <c r="G78" s="1454"/>
      <c r="H78" s="2103"/>
      <c r="I78" s="1455"/>
      <c r="J78" s="1894">
        <f t="shared" si="39"/>
        <v>0</v>
      </c>
      <c r="K78" s="815">
        <f t="shared" si="40"/>
        <v>0</v>
      </c>
      <c r="L78" s="1895">
        <f t="shared" si="41"/>
        <v>0</v>
      </c>
      <c r="M78" s="1029"/>
      <c r="N78" s="2104"/>
      <c r="O78" s="1454"/>
      <c r="P78" s="2103"/>
      <c r="Q78" s="851">
        <f t="shared" si="42"/>
        <v>0</v>
      </c>
      <c r="R78" s="2104"/>
      <c r="S78" s="1454"/>
      <c r="T78" s="1455"/>
      <c r="U78" s="1887">
        <f t="shared" si="43"/>
        <v>0</v>
      </c>
      <c r="V78" s="1455"/>
      <c r="W78" s="1454"/>
      <c r="X78" s="1456"/>
    </row>
    <row r="79" spans="1:24" ht="11.25" customHeight="1" x14ac:dyDescent="0.25">
      <c r="A79" s="1028">
        <f>'Org structure'!E72</f>
        <v>0</v>
      </c>
      <c r="B79" s="171"/>
      <c r="C79" s="1454"/>
      <c r="D79" s="1454"/>
      <c r="E79" s="2103"/>
      <c r="F79" s="2104"/>
      <c r="G79" s="1454"/>
      <c r="H79" s="2103"/>
      <c r="I79" s="1455"/>
      <c r="J79" s="1894">
        <f t="shared" si="39"/>
        <v>0</v>
      </c>
      <c r="K79" s="815">
        <f t="shared" si="40"/>
        <v>0</v>
      </c>
      <c r="L79" s="1895">
        <f t="shared" si="41"/>
        <v>0</v>
      </c>
      <c r="M79" s="1029"/>
      <c r="N79" s="2104"/>
      <c r="O79" s="1454"/>
      <c r="P79" s="2103"/>
      <c r="Q79" s="851">
        <f t="shared" si="42"/>
        <v>0</v>
      </c>
      <c r="R79" s="2104"/>
      <c r="S79" s="1454"/>
      <c r="T79" s="1455"/>
      <c r="U79" s="1887">
        <f t="shared" si="43"/>
        <v>0</v>
      </c>
      <c r="V79" s="1455"/>
      <c r="W79" s="1454"/>
      <c r="X79" s="1456"/>
    </row>
    <row r="80" spans="1:24" ht="11.25" customHeight="1" x14ac:dyDescent="0.25">
      <c r="A80" s="1028">
        <f>'Org structure'!E73</f>
        <v>0</v>
      </c>
      <c r="B80" s="171"/>
      <c r="C80" s="1454"/>
      <c r="D80" s="1454"/>
      <c r="E80" s="2103"/>
      <c r="F80" s="2104"/>
      <c r="G80" s="1454"/>
      <c r="H80" s="2103"/>
      <c r="I80" s="1455"/>
      <c r="J80" s="1894">
        <f t="shared" si="39"/>
        <v>0</v>
      </c>
      <c r="K80" s="815">
        <f t="shared" si="40"/>
        <v>0</v>
      </c>
      <c r="L80" s="1895">
        <f t="shared" si="41"/>
        <v>0</v>
      </c>
      <c r="M80" s="1029"/>
      <c r="N80" s="2104"/>
      <c r="O80" s="1454"/>
      <c r="P80" s="2103"/>
      <c r="Q80" s="851">
        <f t="shared" si="42"/>
        <v>0</v>
      </c>
      <c r="R80" s="2104"/>
      <c r="S80" s="1454"/>
      <c r="T80" s="1455"/>
      <c r="U80" s="1887">
        <f t="shared" si="43"/>
        <v>0</v>
      </c>
      <c r="V80" s="1455"/>
      <c r="W80" s="1454"/>
      <c r="X80" s="1456"/>
    </row>
    <row r="81" spans="1:24" ht="11.25" customHeight="1" x14ac:dyDescent="0.25">
      <c r="A81" s="1028">
        <f>'Org structure'!E74</f>
        <v>0</v>
      </c>
      <c r="B81" s="171"/>
      <c r="C81" s="1454"/>
      <c r="D81" s="1454"/>
      <c r="E81" s="2103"/>
      <c r="F81" s="2104"/>
      <c r="G81" s="1454"/>
      <c r="H81" s="2103"/>
      <c r="I81" s="1455"/>
      <c r="J81" s="1894">
        <f t="shared" si="39"/>
        <v>0</v>
      </c>
      <c r="K81" s="815">
        <f t="shared" si="40"/>
        <v>0</v>
      </c>
      <c r="L81" s="1895">
        <f t="shared" si="41"/>
        <v>0</v>
      </c>
      <c r="M81" s="1029"/>
      <c r="N81" s="2104"/>
      <c r="O81" s="1454"/>
      <c r="P81" s="2103"/>
      <c r="Q81" s="851">
        <f t="shared" si="42"/>
        <v>0</v>
      </c>
      <c r="R81" s="2104"/>
      <c r="S81" s="1454"/>
      <c r="T81" s="1455"/>
      <c r="U81" s="1887">
        <f t="shared" si="43"/>
        <v>0</v>
      </c>
      <c r="V81" s="1455"/>
      <c r="W81" s="1454"/>
      <c r="X81" s="1456"/>
    </row>
    <row r="82" spans="1:24" ht="11.25" customHeight="1" x14ac:dyDescent="0.25">
      <c r="A82" s="1028">
        <f>'Org structure'!E75</f>
        <v>0</v>
      </c>
      <c r="B82" s="171"/>
      <c r="C82" s="1454"/>
      <c r="D82" s="1454"/>
      <c r="E82" s="2103"/>
      <c r="F82" s="2104"/>
      <c r="G82" s="1454"/>
      <c r="H82" s="2103"/>
      <c r="I82" s="1455"/>
      <c r="J82" s="1894">
        <f t="shared" si="39"/>
        <v>0</v>
      </c>
      <c r="K82" s="815">
        <f t="shared" si="40"/>
        <v>0</v>
      </c>
      <c r="L82" s="1895">
        <f t="shared" si="41"/>
        <v>0</v>
      </c>
      <c r="M82" s="1029"/>
      <c r="N82" s="2104"/>
      <c r="O82" s="1454"/>
      <c r="P82" s="2103"/>
      <c r="Q82" s="851">
        <f t="shared" si="42"/>
        <v>0</v>
      </c>
      <c r="R82" s="2104"/>
      <c r="S82" s="1454"/>
      <c r="T82" s="1455"/>
      <c r="U82" s="1887">
        <f t="shared" si="43"/>
        <v>0</v>
      </c>
      <c r="V82" s="1455"/>
      <c r="W82" s="1454"/>
      <c r="X82" s="1456"/>
    </row>
    <row r="83" spans="1:24" ht="15" customHeight="1" x14ac:dyDescent="0.25">
      <c r="A83" s="1027" t="str">
        <f>'Org structure'!A9</f>
        <v xml:space="preserve">Vote 8 - </v>
      </c>
      <c r="B83" s="171"/>
      <c r="C83" s="849">
        <f t="shared" ref="C83:L83" si="44">SUM(C84:C93)</f>
        <v>0</v>
      </c>
      <c r="D83" s="849">
        <f t="shared" si="44"/>
        <v>0</v>
      </c>
      <c r="E83" s="850">
        <f t="shared" si="44"/>
        <v>0</v>
      </c>
      <c r="F83" s="851">
        <f t="shared" si="44"/>
        <v>0</v>
      </c>
      <c r="G83" s="849">
        <f t="shared" si="44"/>
        <v>0</v>
      </c>
      <c r="H83" s="850">
        <f t="shared" si="44"/>
        <v>0</v>
      </c>
      <c r="I83" s="852">
        <f t="shared" si="44"/>
        <v>0</v>
      </c>
      <c r="J83" s="1894">
        <f t="shared" si="44"/>
        <v>0</v>
      </c>
      <c r="K83" s="815">
        <f t="shared" si="44"/>
        <v>0</v>
      </c>
      <c r="L83" s="1895">
        <f t="shared" si="44"/>
        <v>0</v>
      </c>
      <c r="M83" s="198"/>
      <c r="N83" s="851">
        <f t="shared" ref="N83:X83" si="45">SUM(N84:N93)</f>
        <v>0</v>
      </c>
      <c r="O83" s="849">
        <f t="shared" si="45"/>
        <v>0</v>
      </c>
      <c r="P83" s="850">
        <f t="shared" si="45"/>
        <v>0</v>
      </c>
      <c r="Q83" s="851">
        <f t="shared" si="45"/>
        <v>0</v>
      </c>
      <c r="R83" s="851">
        <f t="shared" si="45"/>
        <v>0</v>
      </c>
      <c r="S83" s="849">
        <f t="shared" si="45"/>
        <v>0</v>
      </c>
      <c r="T83" s="1891">
        <f t="shared" si="45"/>
        <v>0</v>
      </c>
      <c r="U83" s="1887">
        <f t="shared" si="45"/>
        <v>0</v>
      </c>
      <c r="V83" s="1892">
        <f t="shared" si="45"/>
        <v>0</v>
      </c>
      <c r="W83" s="849">
        <f t="shared" si="45"/>
        <v>0</v>
      </c>
      <c r="X83" s="1893">
        <f t="shared" si="45"/>
        <v>0</v>
      </c>
    </row>
    <row r="84" spans="1:24" ht="11.25" customHeight="1" x14ac:dyDescent="0.25">
      <c r="A84" s="1028">
        <f>'Org structure'!E77</f>
        <v>0</v>
      </c>
      <c r="B84" s="171"/>
      <c r="C84" s="1454"/>
      <c r="D84" s="1454"/>
      <c r="E84" s="1455"/>
      <c r="F84" s="2104"/>
      <c r="G84" s="1454"/>
      <c r="H84" s="2103"/>
      <c r="I84" s="1455"/>
      <c r="J84" s="1894">
        <f t="shared" ref="J84:J93" si="46">Q84+V84</f>
        <v>0</v>
      </c>
      <c r="K84" s="815">
        <f t="shared" ref="K84:K93" si="47">U84+W84</f>
        <v>0</v>
      </c>
      <c r="L84" s="1895">
        <f t="shared" ref="L84:L93" si="48">X84</f>
        <v>0</v>
      </c>
      <c r="M84" s="198"/>
      <c r="N84" s="2104"/>
      <c r="O84" s="1454"/>
      <c r="P84" s="2103"/>
      <c r="Q84" s="851">
        <f t="shared" ref="Q84:Q93" si="49">SUM(N84:P84)</f>
        <v>0</v>
      </c>
      <c r="R84" s="2104"/>
      <c r="S84" s="1454"/>
      <c r="T84" s="1455"/>
      <c r="U84" s="1887">
        <f t="shared" si="43"/>
        <v>0</v>
      </c>
      <c r="V84" s="1455"/>
      <c r="W84" s="1454"/>
      <c r="X84" s="1456"/>
    </row>
    <row r="85" spans="1:24" ht="11.25" customHeight="1" x14ac:dyDescent="0.25">
      <c r="A85" s="1028">
        <f>'Org structure'!E78</f>
        <v>0</v>
      </c>
      <c r="B85" s="171"/>
      <c r="C85" s="1454"/>
      <c r="D85" s="1454"/>
      <c r="E85" s="1455"/>
      <c r="F85" s="2104"/>
      <c r="G85" s="1454"/>
      <c r="H85" s="2103"/>
      <c r="I85" s="1455"/>
      <c r="J85" s="1894">
        <f t="shared" si="46"/>
        <v>0</v>
      </c>
      <c r="K85" s="815">
        <f t="shared" si="47"/>
        <v>0</v>
      </c>
      <c r="L85" s="1895">
        <f t="shared" si="48"/>
        <v>0</v>
      </c>
      <c r="M85" s="198"/>
      <c r="N85" s="2104"/>
      <c r="O85" s="1454"/>
      <c r="P85" s="2103"/>
      <c r="Q85" s="851">
        <f t="shared" si="49"/>
        <v>0</v>
      </c>
      <c r="R85" s="2104"/>
      <c r="S85" s="1454"/>
      <c r="T85" s="1455"/>
      <c r="U85" s="1887">
        <f t="shared" si="43"/>
        <v>0</v>
      </c>
      <c r="V85" s="1455"/>
      <c r="W85" s="1454"/>
      <c r="X85" s="1456"/>
    </row>
    <row r="86" spans="1:24" ht="11.25" customHeight="1" x14ac:dyDescent="0.25">
      <c r="A86" s="1028">
        <f>'Org structure'!E79</f>
        <v>0</v>
      </c>
      <c r="B86" s="171"/>
      <c r="C86" s="1454"/>
      <c r="D86" s="1454"/>
      <c r="E86" s="1455"/>
      <c r="F86" s="2104"/>
      <c r="G86" s="1454"/>
      <c r="H86" s="2103"/>
      <c r="I86" s="1455"/>
      <c r="J86" s="1894">
        <f t="shared" si="46"/>
        <v>0</v>
      </c>
      <c r="K86" s="815">
        <f t="shared" si="47"/>
        <v>0</v>
      </c>
      <c r="L86" s="1895">
        <f t="shared" si="48"/>
        <v>0</v>
      </c>
      <c r="M86" s="198"/>
      <c r="N86" s="2104"/>
      <c r="O86" s="1454"/>
      <c r="P86" s="2103"/>
      <c r="Q86" s="851">
        <f t="shared" si="49"/>
        <v>0</v>
      </c>
      <c r="R86" s="2104"/>
      <c r="S86" s="1454"/>
      <c r="T86" s="1455"/>
      <c r="U86" s="1887">
        <f t="shared" si="43"/>
        <v>0</v>
      </c>
      <c r="V86" s="1455"/>
      <c r="W86" s="1454"/>
      <c r="X86" s="1456"/>
    </row>
    <row r="87" spans="1:24" ht="11.25" customHeight="1" x14ac:dyDescent="0.25">
      <c r="A87" s="1028">
        <f>'Org structure'!E80</f>
        <v>0</v>
      </c>
      <c r="B87" s="171"/>
      <c r="C87" s="1454"/>
      <c r="D87" s="1454"/>
      <c r="E87" s="1455"/>
      <c r="F87" s="2104"/>
      <c r="G87" s="1454"/>
      <c r="H87" s="2103"/>
      <c r="I87" s="1455"/>
      <c r="J87" s="1894">
        <f t="shared" si="46"/>
        <v>0</v>
      </c>
      <c r="K87" s="815">
        <f t="shared" si="47"/>
        <v>0</v>
      </c>
      <c r="L87" s="1895">
        <f t="shared" si="48"/>
        <v>0</v>
      </c>
      <c r="M87" s="198"/>
      <c r="N87" s="2104"/>
      <c r="O87" s="1454"/>
      <c r="P87" s="2103"/>
      <c r="Q87" s="851">
        <f t="shared" si="49"/>
        <v>0</v>
      </c>
      <c r="R87" s="2104"/>
      <c r="S87" s="1454"/>
      <c r="T87" s="1455"/>
      <c r="U87" s="1887">
        <f t="shared" si="43"/>
        <v>0</v>
      </c>
      <c r="V87" s="1455"/>
      <c r="W87" s="1454"/>
      <c r="X87" s="1456"/>
    </row>
    <row r="88" spans="1:24" ht="11.25" customHeight="1" x14ac:dyDescent="0.25">
      <c r="A88" s="1028">
        <f>'Org structure'!E81</f>
        <v>0</v>
      </c>
      <c r="B88" s="171"/>
      <c r="C88" s="1454"/>
      <c r="D88" s="1454"/>
      <c r="E88" s="1455"/>
      <c r="F88" s="2104"/>
      <c r="G88" s="1454"/>
      <c r="H88" s="2103"/>
      <c r="I88" s="1455"/>
      <c r="J88" s="1894">
        <f t="shared" si="46"/>
        <v>0</v>
      </c>
      <c r="K88" s="815">
        <f t="shared" si="47"/>
        <v>0</v>
      </c>
      <c r="L88" s="1895">
        <f t="shared" si="48"/>
        <v>0</v>
      </c>
      <c r="M88" s="198"/>
      <c r="N88" s="2104"/>
      <c r="O88" s="1454"/>
      <c r="P88" s="2103"/>
      <c r="Q88" s="851">
        <f t="shared" si="49"/>
        <v>0</v>
      </c>
      <c r="R88" s="2104"/>
      <c r="S88" s="1454"/>
      <c r="T88" s="1455"/>
      <c r="U88" s="1887">
        <f t="shared" si="43"/>
        <v>0</v>
      </c>
      <c r="V88" s="1455"/>
      <c r="W88" s="1454"/>
      <c r="X88" s="1456"/>
    </row>
    <row r="89" spans="1:24" ht="11.25" customHeight="1" x14ac:dyDescent="0.25">
      <c r="A89" s="1028">
        <f>'Org structure'!E82</f>
        <v>0</v>
      </c>
      <c r="B89" s="171"/>
      <c r="C89" s="1454"/>
      <c r="D89" s="1454"/>
      <c r="E89" s="1455"/>
      <c r="F89" s="2104"/>
      <c r="G89" s="1454"/>
      <c r="H89" s="2103"/>
      <c r="I89" s="1455"/>
      <c r="J89" s="1894">
        <f t="shared" si="46"/>
        <v>0</v>
      </c>
      <c r="K89" s="815">
        <f t="shared" si="47"/>
        <v>0</v>
      </c>
      <c r="L89" s="1895">
        <f t="shared" si="48"/>
        <v>0</v>
      </c>
      <c r="M89" s="198"/>
      <c r="N89" s="2104"/>
      <c r="O89" s="1454"/>
      <c r="P89" s="2103"/>
      <c r="Q89" s="851">
        <f t="shared" si="49"/>
        <v>0</v>
      </c>
      <c r="R89" s="2104"/>
      <c r="S89" s="1454"/>
      <c r="T89" s="1455"/>
      <c r="U89" s="1887">
        <f t="shared" si="43"/>
        <v>0</v>
      </c>
      <c r="V89" s="1455"/>
      <c r="W89" s="1454"/>
      <c r="X89" s="1456"/>
    </row>
    <row r="90" spans="1:24" ht="11.25" customHeight="1" x14ac:dyDescent="0.25">
      <c r="A90" s="1028">
        <f>'Org structure'!E83</f>
        <v>0</v>
      </c>
      <c r="B90" s="171"/>
      <c r="C90" s="1454"/>
      <c r="D90" s="1454"/>
      <c r="E90" s="1455"/>
      <c r="F90" s="2104"/>
      <c r="G90" s="1454"/>
      <c r="H90" s="2103"/>
      <c r="I90" s="1455"/>
      <c r="J90" s="1894">
        <f t="shared" si="46"/>
        <v>0</v>
      </c>
      <c r="K90" s="815">
        <f t="shared" si="47"/>
        <v>0</v>
      </c>
      <c r="L90" s="1895">
        <f t="shared" si="48"/>
        <v>0</v>
      </c>
      <c r="M90" s="198"/>
      <c r="N90" s="2104"/>
      <c r="O90" s="1454"/>
      <c r="P90" s="2103"/>
      <c r="Q90" s="851">
        <f t="shared" si="49"/>
        <v>0</v>
      </c>
      <c r="R90" s="2104"/>
      <c r="S90" s="1454"/>
      <c r="T90" s="1455"/>
      <c r="U90" s="1887">
        <f t="shared" si="43"/>
        <v>0</v>
      </c>
      <c r="V90" s="1455"/>
      <c r="W90" s="1454"/>
      <c r="X90" s="1456"/>
    </row>
    <row r="91" spans="1:24" ht="11.25" customHeight="1" x14ac:dyDescent="0.25">
      <c r="A91" s="1028">
        <f>'Org structure'!E84</f>
        <v>0</v>
      </c>
      <c r="B91" s="171"/>
      <c r="C91" s="1454"/>
      <c r="D91" s="1454"/>
      <c r="E91" s="1455"/>
      <c r="F91" s="2104"/>
      <c r="G91" s="1454"/>
      <c r="H91" s="2103"/>
      <c r="I91" s="1455"/>
      <c r="J91" s="1894">
        <f t="shared" si="46"/>
        <v>0</v>
      </c>
      <c r="K91" s="815">
        <f t="shared" si="47"/>
        <v>0</v>
      </c>
      <c r="L91" s="1895">
        <f t="shared" si="48"/>
        <v>0</v>
      </c>
      <c r="M91" s="198"/>
      <c r="N91" s="2104"/>
      <c r="O91" s="1454"/>
      <c r="P91" s="2103"/>
      <c r="Q91" s="851">
        <f t="shared" si="49"/>
        <v>0</v>
      </c>
      <c r="R91" s="2104"/>
      <c r="S91" s="1454"/>
      <c r="T91" s="1455"/>
      <c r="U91" s="1887">
        <f t="shared" si="43"/>
        <v>0</v>
      </c>
      <c r="V91" s="1455"/>
      <c r="W91" s="1454"/>
      <c r="X91" s="1456"/>
    </row>
    <row r="92" spans="1:24" ht="11.25" customHeight="1" x14ac:dyDescent="0.25">
      <c r="A92" s="1028">
        <f>'Org structure'!E85</f>
        <v>0</v>
      </c>
      <c r="B92" s="171"/>
      <c r="C92" s="1454"/>
      <c r="D92" s="1454"/>
      <c r="E92" s="1455"/>
      <c r="F92" s="2104"/>
      <c r="G92" s="1454"/>
      <c r="H92" s="2103"/>
      <c r="I92" s="1455"/>
      <c r="J92" s="1894">
        <f t="shared" si="46"/>
        <v>0</v>
      </c>
      <c r="K92" s="815">
        <f t="shared" si="47"/>
        <v>0</v>
      </c>
      <c r="L92" s="1895">
        <f t="shared" si="48"/>
        <v>0</v>
      </c>
      <c r="M92" s="198"/>
      <c r="N92" s="2104"/>
      <c r="O92" s="1454"/>
      <c r="P92" s="2103"/>
      <c r="Q92" s="851">
        <f t="shared" si="49"/>
        <v>0</v>
      </c>
      <c r="R92" s="2104"/>
      <c r="S92" s="1454"/>
      <c r="T92" s="1455"/>
      <c r="U92" s="1887">
        <f t="shared" si="43"/>
        <v>0</v>
      </c>
      <c r="V92" s="1455"/>
      <c r="W92" s="1454"/>
      <c r="X92" s="1456"/>
    </row>
    <row r="93" spans="1:24" ht="11.25" customHeight="1" x14ac:dyDescent="0.25">
      <c r="A93" s="1028">
        <f>'Org structure'!E86</f>
        <v>0</v>
      </c>
      <c r="B93" s="171"/>
      <c r="C93" s="1454"/>
      <c r="D93" s="1454"/>
      <c r="E93" s="1455"/>
      <c r="F93" s="2104"/>
      <c r="G93" s="1454"/>
      <c r="H93" s="2103"/>
      <c r="I93" s="1455"/>
      <c r="J93" s="1894">
        <f t="shared" si="46"/>
        <v>0</v>
      </c>
      <c r="K93" s="815">
        <f t="shared" si="47"/>
        <v>0</v>
      </c>
      <c r="L93" s="1895">
        <f t="shared" si="48"/>
        <v>0</v>
      </c>
      <c r="M93" s="198"/>
      <c r="N93" s="2104"/>
      <c r="O93" s="1454"/>
      <c r="P93" s="2103"/>
      <c r="Q93" s="851">
        <f t="shared" si="49"/>
        <v>0</v>
      </c>
      <c r="R93" s="2104"/>
      <c r="S93" s="1454"/>
      <c r="T93" s="1455"/>
      <c r="U93" s="1887">
        <f t="shared" si="43"/>
        <v>0</v>
      </c>
      <c r="V93" s="1455"/>
      <c r="W93" s="1454"/>
      <c r="X93" s="1456"/>
    </row>
    <row r="94" spans="1:24" ht="15" customHeight="1" x14ac:dyDescent="0.25">
      <c r="A94" s="1027" t="str">
        <f>'Org structure'!A10</f>
        <v>Vote 9 - [NAME OF VOTE 9]</v>
      </c>
      <c r="B94" s="171"/>
      <c r="C94" s="849">
        <f>SUM(C95:C104)</f>
        <v>0</v>
      </c>
      <c r="D94" s="849">
        <f t="shared" ref="D94:L94" si="50">SUM(D95:D104)</f>
        <v>0</v>
      </c>
      <c r="E94" s="850">
        <f t="shared" si="50"/>
        <v>0</v>
      </c>
      <c r="F94" s="851">
        <f t="shared" si="50"/>
        <v>0</v>
      </c>
      <c r="G94" s="849">
        <f t="shared" si="50"/>
        <v>0</v>
      </c>
      <c r="H94" s="850">
        <f t="shared" si="50"/>
        <v>0</v>
      </c>
      <c r="I94" s="852">
        <f t="shared" si="50"/>
        <v>0</v>
      </c>
      <c r="J94" s="1894">
        <f t="shared" si="50"/>
        <v>0</v>
      </c>
      <c r="K94" s="815">
        <f t="shared" si="50"/>
        <v>0</v>
      </c>
      <c r="L94" s="1895">
        <f t="shared" si="50"/>
        <v>0</v>
      </c>
      <c r="M94" s="198"/>
      <c r="N94" s="851">
        <f t="shared" ref="N94:X94" si="51">SUM(N95:N104)</f>
        <v>0</v>
      </c>
      <c r="O94" s="849">
        <f t="shared" si="51"/>
        <v>0</v>
      </c>
      <c r="P94" s="850">
        <f t="shared" si="51"/>
        <v>0</v>
      </c>
      <c r="Q94" s="851">
        <f t="shared" si="51"/>
        <v>0</v>
      </c>
      <c r="R94" s="851">
        <f t="shared" si="51"/>
        <v>0</v>
      </c>
      <c r="S94" s="849">
        <f t="shared" si="51"/>
        <v>0</v>
      </c>
      <c r="T94" s="1891">
        <f t="shared" si="51"/>
        <v>0</v>
      </c>
      <c r="U94" s="1887">
        <f t="shared" si="51"/>
        <v>0</v>
      </c>
      <c r="V94" s="1892">
        <f t="shared" si="51"/>
        <v>0</v>
      </c>
      <c r="W94" s="849">
        <f t="shared" si="51"/>
        <v>0</v>
      </c>
      <c r="X94" s="1893">
        <f t="shared" si="51"/>
        <v>0</v>
      </c>
    </row>
    <row r="95" spans="1:24" ht="11.25" customHeight="1" x14ac:dyDescent="0.25">
      <c r="A95" s="1028" t="str">
        <f>'Org structure'!E88</f>
        <v>9.1 - [Name of sub-vote]</v>
      </c>
      <c r="B95" s="171"/>
      <c r="C95" s="1454"/>
      <c r="D95" s="1454"/>
      <c r="E95" s="1455"/>
      <c r="F95" s="2104"/>
      <c r="G95" s="1454"/>
      <c r="H95" s="2103"/>
      <c r="I95" s="1455"/>
      <c r="J95" s="1894">
        <f t="shared" ref="J95:J104" si="52">Q95+V95</f>
        <v>0</v>
      </c>
      <c r="K95" s="815">
        <f t="shared" ref="K95:K104" si="53">U95+W95</f>
        <v>0</v>
      </c>
      <c r="L95" s="1895">
        <f t="shared" ref="L95:L104" si="54">X95</f>
        <v>0</v>
      </c>
      <c r="M95" s="198"/>
      <c r="N95" s="2104"/>
      <c r="O95" s="1454"/>
      <c r="P95" s="2103"/>
      <c r="Q95" s="851">
        <f t="shared" ref="Q95:Q104" si="55">SUM(N95:P95)</f>
        <v>0</v>
      </c>
      <c r="R95" s="2104"/>
      <c r="S95" s="1454"/>
      <c r="T95" s="1455"/>
      <c r="U95" s="1887">
        <f t="shared" si="43"/>
        <v>0</v>
      </c>
      <c r="V95" s="1455"/>
      <c r="W95" s="1454"/>
      <c r="X95" s="1456"/>
    </row>
    <row r="96" spans="1:24" ht="11.25" customHeight="1" x14ac:dyDescent="0.25">
      <c r="A96" s="1028">
        <f>'Org structure'!E89</f>
        <v>0</v>
      </c>
      <c r="B96" s="171"/>
      <c r="C96" s="1454"/>
      <c r="D96" s="1454"/>
      <c r="E96" s="1455"/>
      <c r="F96" s="2104"/>
      <c r="G96" s="1454"/>
      <c r="H96" s="2103"/>
      <c r="I96" s="1455"/>
      <c r="J96" s="1894">
        <f t="shared" si="52"/>
        <v>0</v>
      </c>
      <c r="K96" s="815">
        <f t="shared" si="53"/>
        <v>0</v>
      </c>
      <c r="L96" s="1895">
        <f t="shared" si="54"/>
        <v>0</v>
      </c>
      <c r="M96" s="198"/>
      <c r="N96" s="2104"/>
      <c r="O96" s="1454"/>
      <c r="P96" s="2103"/>
      <c r="Q96" s="851">
        <f t="shared" si="55"/>
        <v>0</v>
      </c>
      <c r="R96" s="2104"/>
      <c r="S96" s="1454"/>
      <c r="T96" s="1455"/>
      <c r="U96" s="1887">
        <f t="shared" si="43"/>
        <v>0</v>
      </c>
      <c r="V96" s="1455"/>
      <c r="W96" s="1454"/>
      <c r="X96" s="1456"/>
    </row>
    <row r="97" spans="1:24" ht="11.25" customHeight="1" x14ac:dyDescent="0.25">
      <c r="A97" s="1028">
        <f>'Org structure'!E90</f>
        <v>0</v>
      </c>
      <c r="B97" s="171"/>
      <c r="C97" s="1454"/>
      <c r="D97" s="1454"/>
      <c r="E97" s="1455"/>
      <c r="F97" s="2104"/>
      <c r="G97" s="1454"/>
      <c r="H97" s="2103"/>
      <c r="I97" s="1455"/>
      <c r="J97" s="1894">
        <f t="shared" si="52"/>
        <v>0</v>
      </c>
      <c r="K97" s="815">
        <f t="shared" si="53"/>
        <v>0</v>
      </c>
      <c r="L97" s="1895">
        <f t="shared" si="54"/>
        <v>0</v>
      </c>
      <c r="M97" s="198"/>
      <c r="N97" s="2104"/>
      <c r="O97" s="1454"/>
      <c r="P97" s="2103"/>
      <c r="Q97" s="851">
        <f t="shared" si="55"/>
        <v>0</v>
      </c>
      <c r="R97" s="2104"/>
      <c r="S97" s="1454"/>
      <c r="T97" s="1455"/>
      <c r="U97" s="1887">
        <f t="shared" si="43"/>
        <v>0</v>
      </c>
      <c r="V97" s="1455"/>
      <c r="W97" s="1454"/>
      <c r="X97" s="1456"/>
    </row>
    <row r="98" spans="1:24" ht="11.25" customHeight="1" x14ac:dyDescent="0.25">
      <c r="A98" s="1028">
        <f>'Org structure'!E91</f>
        <v>0</v>
      </c>
      <c r="B98" s="171"/>
      <c r="C98" s="1454"/>
      <c r="D98" s="1454"/>
      <c r="E98" s="1455"/>
      <c r="F98" s="2104"/>
      <c r="G98" s="1454"/>
      <c r="H98" s="2103"/>
      <c r="I98" s="1455"/>
      <c r="J98" s="1894">
        <f t="shared" si="52"/>
        <v>0</v>
      </c>
      <c r="K98" s="815">
        <f t="shared" si="53"/>
        <v>0</v>
      </c>
      <c r="L98" s="1895">
        <f t="shared" si="54"/>
        <v>0</v>
      </c>
      <c r="M98" s="198"/>
      <c r="N98" s="2104"/>
      <c r="O98" s="1454"/>
      <c r="P98" s="2103"/>
      <c r="Q98" s="851">
        <f t="shared" si="55"/>
        <v>0</v>
      </c>
      <c r="R98" s="2104"/>
      <c r="S98" s="1454"/>
      <c r="T98" s="1455"/>
      <c r="U98" s="1887">
        <f t="shared" si="43"/>
        <v>0</v>
      </c>
      <c r="V98" s="1455"/>
      <c r="W98" s="1454"/>
      <c r="X98" s="1456"/>
    </row>
    <row r="99" spans="1:24" ht="11.25" customHeight="1" x14ac:dyDescent="0.25">
      <c r="A99" s="1028">
        <f>'Org structure'!E92</f>
        <v>0</v>
      </c>
      <c r="B99" s="171"/>
      <c r="C99" s="1454"/>
      <c r="D99" s="1454"/>
      <c r="E99" s="1455"/>
      <c r="F99" s="2104"/>
      <c r="G99" s="1454"/>
      <c r="H99" s="2103"/>
      <c r="I99" s="1455"/>
      <c r="J99" s="1894">
        <f t="shared" si="52"/>
        <v>0</v>
      </c>
      <c r="K99" s="815">
        <f t="shared" si="53"/>
        <v>0</v>
      </c>
      <c r="L99" s="1895">
        <f t="shared" si="54"/>
        <v>0</v>
      </c>
      <c r="M99" s="198"/>
      <c r="N99" s="2104"/>
      <c r="O99" s="1454"/>
      <c r="P99" s="2103"/>
      <c r="Q99" s="851">
        <f t="shared" si="55"/>
        <v>0</v>
      </c>
      <c r="R99" s="2104"/>
      <c r="S99" s="1454"/>
      <c r="T99" s="1455"/>
      <c r="U99" s="1887">
        <f t="shared" si="43"/>
        <v>0</v>
      </c>
      <c r="V99" s="1455"/>
      <c r="W99" s="1454"/>
      <c r="X99" s="1456"/>
    </row>
    <row r="100" spans="1:24" ht="11.25" customHeight="1" x14ac:dyDescent="0.25">
      <c r="A100" s="1028">
        <f>'Org structure'!E93</f>
        <v>0</v>
      </c>
      <c r="B100" s="171"/>
      <c r="C100" s="1454"/>
      <c r="D100" s="1454"/>
      <c r="E100" s="1455"/>
      <c r="F100" s="2104"/>
      <c r="G100" s="1454"/>
      <c r="H100" s="2103"/>
      <c r="I100" s="1455"/>
      <c r="J100" s="1894">
        <f t="shared" si="52"/>
        <v>0</v>
      </c>
      <c r="K100" s="815">
        <f t="shared" si="53"/>
        <v>0</v>
      </c>
      <c r="L100" s="1895">
        <f t="shared" si="54"/>
        <v>0</v>
      </c>
      <c r="M100" s="198"/>
      <c r="N100" s="2104"/>
      <c r="O100" s="1454"/>
      <c r="P100" s="2103"/>
      <c r="Q100" s="851">
        <f t="shared" si="55"/>
        <v>0</v>
      </c>
      <c r="R100" s="2104"/>
      <c r="S100" s="1454"/>
      <c r="T100" s="1455"/>
      <c r="U100" s="1887">
        <f t="shared" si="43"/>
        <v>0</v>
      </c>
      <c r="V100" s="1455"/>
      <c r="W100" s="1454"/>
      <c r="X100" s="1456"/>
    </row>
    <row r="101" spans="1:24" ht="11.25" customHeight="1" x14ac:dyDescent="0.25">
      <c r="A101" s="1028">
        <f>'Org structure'!E94</f>
        <v>0</v>
      </c>
      <c r="B101" s="171"/>
      <c r="C101" s="1454"/>
      <c r="D101" s="1454"/>
      <c r="E101" s="1455"/>
      <c r="F101" s="2104"/>
      <c r="G101" s="1454"/>
      <c r="H101" s="2103"/>
      <c r="I101" s="1455"/>
      <c r="J101" s="1894">
        <f t="shared" si="52"/>
        <v>0</v>
      </c>
      <c r="K101" s="815">
        <f t="shared" si="53"/>
        <v>0</v>
      </c>
      <c r="L101" s="1895">
        <f t="shared" si="54"/>
        <v>0</v>
      </c>
      <c r="M101" s="198"/>
      <c r="N101" s="2104"/>
      <c r="O101" s="1454"/>
      <c r="P101" s="2103"/>
      <c r="Q101" s="851">
        <f t="shared" si="55"/>
        <v>0</v>
      </c>
      <c r="R101" s="2104"/>
      <c r="S101" s="1454"/>
      <c r="T101" s="1455"/>
      <c r="U101" s="1887">
        <f t="shared" si="43"/>
        <v>0</v>
      </c>
      <c r="V101" s="1455"/>
      <c r="W101" s="1454"/>
      <c r="X101" s="1456"/>
    </row>
    <row r="102" spans="1:24" ht="11.25" customHeight="1" x14ac:dyDescent="0.25">
      <c r="A102" s="1028">
        <f>'Org structure'!E95</f>
        <v>0</v>
      </c>
      <c r="B102" s="171"/>
      <c r="C102" s="1454"/>
      <c r="D102" s="1454"/>
      <c r="E102" s="1455"/>
      <c r="F102" s="2104"/>
      <c r="G102" s="1454"/>
      <c r="H102" s="2103"/>
      <c r="I102" s="1455"/>
      <c r="J102" s="1894">
        <f t="shared" si="52"/>
        <v>0</v>
      </c>
      <c r="K102" s="815">
        <f t="shared" si="53"/>
        <v>0</v>
      </c>
      <c r="L102" s="1895">
        <f t="shared" si="54"/>
        <v>0</v>
      </c>
      <c r="M102" s="198"/>
      <c r="N102" s="2104"/>
      <c r="O102" s="1454"/>
      <c r="P102" s="2103"/>
      <c r="Q102" s="851">
        <f t="shared" si="55"/>
        <v>0</v>
      </c>
      <c r="R102" s="2104"/>
      <c r="S102" s="1454"/>
      <c r="T102" s="1455"/>
      <c r="U102" s="1887">
        <f t="shared" si="43"/>
        <v>0</v>
      </c>
      <c r="V102" s="1455"/>
      <c r="W102" s="1454"/>
      <c r="X102" s="1456"/>
    </row>
    <row r="103" spans="1:24" ht="11.25" customHeight="1" x14ac:dyDescent="0.25">
      <c r="A103" s="1028">
        <f>'Org structure'!E96</f>
        <v>0</v>
      </c>
      <c r="B103" s="171"/>
      <c r="C103" s="1454"/>
      <c r="D103" s="1454"/>
      <c r="E103" s="1455"/>
      <c r="F103" s="2104"/>
      <c r="G103" s="1454"/>
      <c r="H103" s="2103"/>
      <c r="I103" s="1455"/>
      <c r="J103" s="1894">
        <f t="shared" si="52"/>
        <v>0</v>
      </c>
      <c r="K103" s="815">
        <f t="shared" si="53"/>
        <v>0</v>
      </c>
      <c r="L103" s="1895">
        <f t="shared" si="54"/>
        <v>0</v>
      </c>
      <c r="M103" s="198"/>
      <c r="N103" s="2104"/>
      <c r="O103" s="1454"/>
      <c r="P103" s="2103"/>
      <c r="Q103" s="851">
        <f t="shared" si="55"/>
        <v>0</v>
      </c>
      <c r="R103" s="2104"/>
      <c r="S103" s="1454"/>
      <c r="T103" s="1455"/>
      <c r="U103" s="1887">
        <f t="shared" si="43"/>
        <v>0</v>
      </c>
      <c r="V103" s="1455"/>
      <c r="W103" s="1454"/>
      <c r="X103" s="1456"/>
    </row>
    <row r="104" spans="1:24" ht="11.25" customHeight="1" x14ac:dyDescent="0.25">
      <c r="A104" s="1028">
        <f>'Org structure'!E97</f>
        <v>0</v>
      </c>
      <c r="B104" s="171"/>
      <c r="C104" s="1454"/>
      <c r="D104" s="1454"/>
      <c r="E104" s="1455"/>
      <c r="F104" s="2104"/>
      <c r="G104" s="1454"/>
      <c r="H104" s="2103"/>
      <c r="I104" s="1455"/>
      <c r="J104" s="1894">
        <f t="shared" si="52"/>
        <v>0</v>
      </c>
      <c r="K104" s="815">
        <f t="shared" si="53"/>
        <v>0</v>
      </c>
      <c r="L104" s="1895">
        <f t="shared" si="54"/>
        <v>0</v>
      </c>
      <c r="M104" s="198"/>
      <c r="N104" s="2104"/>
      <c r="O104" s="1454"/>
      <c r="P104" s="2103"/>
      <c r="Q104" s="851">
        <f t="shared" si="55"/>
        <v>0</v>
      </c>
      <c r="R104" s="2104"/>
      <c r="S104" s="1454"/>
      <c r="T104" s="1455"/>
      <c r="U104" s="1887">
        <f t="shared" si="43"/>
        <v>0</v>
      </c>
      <c r="V104" s="1455"/>
      <c r="W104" s="1454"/>
      <c r="X104" s="1456"/>
    </row>
    <row r="105" spans="1:24" ht="15" customHeight="1" x14ac:dyDescent="0.25">
      <c r="A105" s="1027" t="str">
        <f>'Org structure'!A11</f>
        <v>Vote 10 - [NAME OF VOTE 10]</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4">
        <f t="shared" si="56"/>
        <v>0</v>
      </c>
      <c r="K105" s="815">
        <f t="shared" si="56"/>
        <v>0</v>
      </c>
      <c r="L105" s="1895">
        <f t="shared" si="56"/>
        <v>0</v>
      </c>
      <c r="M105" s="198"/>
      <c r="N105" s="851">
        <f t="shared" ref="N105:X105" si="57">SUM(N106:N115)</f>
        <v>0</v>
      </c>
      <c r="O105" s="849">
        <f t="shared" si="57"/>
        <v>0</v>
      </c>
      <c r="P105" s="850">
        <f t="shared" si="57"/>
        <v>0</v>
      </c>
      <c r="Q105" s="851">
        <f t="shared" si="57"/>
        <v>0</v>
      </c>
      <c r="R105" s="851">
        <f t="shared" si="57"/>
        <v>0</v>
      </c>
      <c r="S105" s="849">
        <f t="shared" si="57"/>
        <v>0</v>
      </c>
      <c r="T105" s="1891">
        <f t="shared" si="57"/>
        <v>0</v>
      </c>
      <c r="U105" s="1887">
        <f t="shared" si="57"/>
        <v>0</v>
      </c>
      <c r="V105" s="1892">
        <f t="shared" si="57"/>
        <v>0</v>
      </c>
      <c r="W105" s="849">
        <f t="shared" si="57"/>
        <v>0</v>
      </c>
      <c r="X105" s="1893">
        <f t="shared" si="57"/>
        <v>0</v>
      </c>
    </row>
    <row r="106" spans="1:24" ht="11.25" customHeight="1" x14ac:dyDescent="0.25">
      <c r="A106" s="1028" t="str">
        <f>'Org structure'!E99</f>
        <v>10.1 - [Name of sub-vote]</v>
      </c>
      <c r="B106" s="171"/>
      <c r="C106" s="1454"/>
      <c r="D106" s="1454"/>
      <c r="E106" s="1455"/>
      <c r="F106" s="2104"/>
      <c r="G106" s="1454"/>
      <c r="H106" s="2103"/>
      <c r="I106" s="1455"/>
      <c r="J106" s="1894">
        <f t="shared" ref="J106:J115" si="58">Q106+V106</f>
        <v>0</v>
      </c>
      <c r="K106" s="815">
        <f t="shared" ref="K106:K115" si="59">U106+W106</f>
        <v>0</v>
      </c>
      <c r="L106" s="1895">
        <f t="shared" ref="L106:L115" si="60">X106</f>
        <v>0</v>
      </c>
      <c r="M106" s="198"/>
      <c r="N106" s="2104"/>
      <c r="O106" s="1454"/>
      <c r="P106" s="2103"/>
      <c r="Q106" s="851">
        <f t="shared" ref="Q106:Q115" si="61">SUM(N106:P106)</f>
        <v>0</v>
      </c>
      <c r="R106" s="2104"/>
      <c r="S106" s="1454"/>
      <c r="T106" s="1455"/>
      <c r="U106" s="1887">
        <f t="shared" si="43"/>
        <v>0</v>
      </c>
      <c r="V106" s="1455"/>
      <c r="W106" s="1454"/>
      <c r="X106" s="1456"/>
    </row>
    <row r="107" spans="1:24" ht="11.25" customHeight="1" x14ac:dyDescent="0.25">
      <c r="A107" s="1028">
        <f>'Org structure'!E100</f>
        <v>0</v>
      </c>
      <c r="B107" s="171"/>
      <c r="C107" s="1454"/>
      <c r="D107" s="1454"/>
      <c r="E107" s="1455"/>
      <c r="F107" s="2104"/>
      <c r="G107" s="1454"/>
      <c r="H107" s="2103"/>
      <c r="I107" s="1455"/>
      <c r="J107" s="1894">
        <f t="shared" si="58"/>
        <v>0</v>
      </c>
      <c r="K107" s="815">
        <f t="shared" si="59"/>
        <v>0</v>
      </c>
      <c r="L107" s="1895">
        <f t="shared" si="60"/>
        <v>0</v>
      </c>
      <c r="M107" s="198"/>
      <c r="N107" s="2104"/>
      <c r="O107" s="1454"/>
      <c r="P107" s="2103"/>
      <c r="Q107" s="851">
        <f t="shared" si="61"/>
        <v>0</v>
      </c>
      <c r="R107" s="2104"/>
      <c r="S107" s="1454"/>
      <c r="T107" s="1455"/>
      <c r="U107" s="1887">
        <f t="shared" si="43"/>
        <v>0</v>
      </c>
      <c r="V107" s="1455"/>
      <c r="W107" s="1454"/>
      <c r="X107" s="1456"/>
    </row>
    <row r="108" spans="1:24" ht="11.25" customHeight="1" x14ac:dyDescent="0.25">
      <c r="A108" s="1028">
        <f>'Org structure'!E101</f>
        <v>0</v>
      </c>
      <c r="B108" s="171"/>
      <c r="C108" s="1454"/>
      <c r="D108" s="1454"/>
      <c r="E108" s="1455"/>
      <c r="F108" s="2104"/>
      <c r="G108" s="1454"/>
      <c r="H108" s="2103"/>
      <c r="I108" s="1455"/>
      <c r="J108" s="1894">
        <f t="shared" si="58"/>
        <v>0</v>
      </c>
      <c r="K108" s="815">
        <f t="shared" si="59"/>
        <v>0</v>
      </c>
      <c r="L108" s="1895">
        <f t="shared" si="60"/>
        <v>0</v>
      </c>
      <c r="M108" s="198"/>
      <c r="N108" s="2104"/>
      <c r="O108" s="1454"/>
      <c r="P108" s="2103"/>
      <c r="Q108" s="851">
        <f t="shared" si="61"/>
        <v>0</v>
      </c>
      <c r="R108" s="2104"/>
      <c r="S108" s="1454"/>
      <c r="T108" s="1455"/>
      <c r="U108" s="1887">
        <f t="shared" si="43"/>
        <v>0</v>
      </c>
      <c r="V108" s="1455"/>
      <c r="W108" s="1454"/>
      <c r="X108" s="1456"/>
    </row>
    <row r="109" spans="1:24" ht="11.25" customHeight="1" x14ac:dyDescent="0.25">
      <c r="A109" s="1028">
        <f>'Org structure'!E102</f>
        <v>0</v>
      </c>
      <c r="B109" s="171"/>
      <c r="C109" s="1454"/>
      <c r="D109" s="1454"/>
      <c r="E109" s="1455"/>
      <c r="F109" s="2104"/>
      <c r="G109" s="1454"/>
      <c r="H109" s="2103"/>
      <c r="I109" s="1455"/>
      <c r="J109" s="1894">
        <f t="shared" si="58"/>
        <v>0</v>
      </c>
      <c r="K109" s="815">
        <f t="shared" si="59"/>
        <v>0</v>
      </c>
      <c r="L109" s="1895">
        <f t="shared" si="60"/>
        <v>0</v>
      </c>
      <c r="M109" s="198"/>
      <c r="N109" s="2104"/>
      <c r="O109" s="1454"/>
      <c r="P109" s="2103"/>
      <c r="Q109" s="851">
        <f t="shared" si="61"/>
        <v>0</v>
      </c>
      <c r="R109" s="2104"/>
      <c r="S109" s="1454"/>
      <c r="T109" s="1455"/>
      <c r="U109" s="1887">
        <f t="shared" si="43"/>
        <v>0</v>
      </c>
      <c r="V109" s="1455"/>
      <c r="W109" s="1454"/>
      <c r="X109" s="1456"/>
    </row>
    <row r="110" spans="1:24" ht="11.25" customHeight="1" x14ac:dyDescent="0.25">
      <c r="A110" s="1028">
        <f>'Org structure'!E103</f>
        <v>0</v>
      </c>
      <c r="B110" s="171"/>
      <c r="C110" s="1454"/>
      <c r="D110" s="1454"/>
      <c r="E110" s="1455"/>
      <c r="F110" s="2104"/>
      <c r="G110" s="1454"/>
      <c r="H110" s="2103"/>
      <c r="I110" s="1455"/>
      <c r="J110" s="1894">
        <f t="shared" si="58"/>
        <v>0</v>
      </c>
      <c r="K110" s="815">
        <f t="shared" si="59"/>
        <v>0</v>
      </c>
      <c r="L110" s="1895">
        <f t="shared" si="60"/>
        <v>0</v>
      </c>
      <c r="M110" s="198"/>
      <c r="N110" s="2104"/>
      <c r="O110" s="1454"/>
      <c r="P110" s="2103"/>
      <c r="Q110" s="851">
        <f t="shared" si="61"/>
        <v>0</v>
      </c>
      <c r="R110" s="2104"/>
      <c r="S110" s="1454"/>
      <c r="T110" s="1455"/>
      <c r="U110" s="1887">
        <f t="shared" si="43"/>
        <v>0</v>
      </c>
      <c r="V110" s="1455"/>
      <c r="W110" s="1454"/>
      <c r="X110" s="1456"/>
    </row>
    <row r="111" spans="1:24" ht="11.25" customHeight="1" x14ac:dyDescent="0.25">
      <c r="A111" s="1028">
        <f>'Org structure'!E104</f>
        <v>0</v>
      </c>
      <c r="B111" s="171"/>
      <c r="C111" s="1454"/>
      <c r="D111" s="1454"/>
      <c r="E111" s="1455"/>
      <c r="F111" s="2104"/>
      <c r="G111" s="1454"/>
      <c r="H111" s="2103"/>
      <c r="I111" s="1455"/>
      <c r="J111" s="1894">
        <f t="shared" si="58"/>
        <v>0</v>
      </c>
      <c r="K111" s="815">
        <f t="shared" si="59"/>
        <v>0</v>
      </c>
      <c r="L111" s="1895">
        <f t="shared" si="60"/>
        <v>0</v>
      </c>
      <c r="M111" s="198"/>
      <c r="N111" s="2104"/>
      <c r="O111" s="1454"/>
      <c r="P111" s="2103"/>
      <c r="Q111" s="851">
        <f t="shared" si="61"/>
        <v>0</v>
      </c>
      <c r="R111" s="2104"/>
      <c r="S111" s="1454"/>
      <c r="T111" s="1455"/>
      <c r="U111" s="1887">
        <f t="shared" si="43"/>
        <v>0</v>
      </c>
      <c r="V111" s="1455"/>
      <c r="W111" s="1454"/>
      <c r="X111" s="1456"/>
    </row>
    <row r="112" spans="1:24" ht="11.25" customHeight="1" x14ac:dyDescent="0.25">
      <c r="A112" s="1028">
        <f>'Org structure'!E105</f>
        <v>0</v>
      </c>
      <c r="B112" s="171"/>
      <c r="C112" s="1454"/>
      <c r="D112" s="1454"/>
      <c r="E112" s="1455"/>
      <c r="F112" s="2104"/>
      <c r="G112" s="1454"/>
      <c r="H112" s="2103"/>
      <c r="I112" s="1455"/>
      <c r="J112" s="1894">
        <f t="shared" si="58"/>
        <v>0</v>
      </c>
      <c r="K112" s="815">
        <f t="shared" si="59"/>
        <v>0</v>
      </c>
      <c r="L112" s="1895">
        <f t="shared" si="60"/>
        <v>0</v>
      </c>
      <c r="M112" s="198"/>
      <c r="N112" s="2104"/>
      <c r="O112" s="1454"/>
      <c r="P112" s="2103"/>
      <c r="Q112" s="851">
        <f t="shared" si="61"/>
        <v>0</v>
      </c>
      <c r="R112" s="2104"/>
      <c r="S112" s="1454"/>
      <c r="T112" s="1455"/>
      <c r="U112" s="1887">
        <f t="shared" si="43"/>
        <v>0</v>
      </c>
      <c r="V112" s="1455"/>
      <c r="W112" s="1454"/>
      <c r="X112" s="1456"/>
    </row>
    <row r="113" spans="1:24" ht="11.25" customHeight="1" x14ac:dyDescent="0.25">
      <c r="A113" s="1028">
        <f>'Org structure'!E106</f>
        <v>0</v>
      </c>
      <c r="B113" s="171"/>
      <c r="C113" s="1454"/>
      <c r="D113" s="1454"/>
      <c r="E113" s="1455"/>
      <c r="F113" s="2104"/>
      <c r="G113" s="1454"/>
      <c r="H113" s="2103"/>
      <c r="I113" s="1455"/>
      <c r="J113" s="1894">
        <f t="shared" si="58"/>
        <v>0</v>
      </c>
      <c r="K113" s="815">
        <f t="shared" si="59"/>
        <v>0</v>
      </c>
      <c r="L113" s="1895">
        <f t="shared" si="60"/>
        <v>0</v>
      </c>
      <c r="M113" s="198"/>
      <c r="N113" s="2104"/>
      <c r="O113" s="1454"/>
      <c r="P113" s="2103"/>
      <c r="Q113" s="851">
        <f t="shared" si="61"/>
        <v>0</v>
      </c>
      <c r="R113" s="2104"/>
      <c r="S113" s="1454"/>
      <c r="T113" s="1455"/>
      <c r="U113" s="1887">
        <f t="shared" si="43"/>
        <v>0</v>
      </c>
      <c r="V113" s="1455"/>
      <c r="W113" s="1454"/>
      <c r="X113" s="1456"/>
    </row>
    <row r="114" spans="1:24" ht="11.25" customHeight="1" x14ac:dyDescent="0.25">
      <c r="A114" s="1028">
        <f>'Org structure'!E107</f>
        <v>0</v>
      </c>
      <c r="B114" s="171"/>
      <c r="C114" s="1454"/>
      <c r="D114" s="1454"/>
      <c r="E114" s="1455"/>
      <c r="F114" s="2104"/>
      <c r="G114" s="1454"/>
      <c r="H114" s="2103"/>
      <c r="I114" s="1455"/>
      <c r="J114" s="1894">
        <f t="shared" si="58"/>
        <v>0</v>
      </c>
      <c r="K114" s="815">
        <f t="shared" si="59"/>
        <v>0</v>
      </c>
      <c r="L114" s="1895">
        <f t="shared" si="60"/>
        <v>0</v>
      </c>
      <c r="M114" s="198"/>
      <c r="N114" s="2104"/>
      <c r="O114" s="1454"/>
      <c r="P114" s="2103"/>
      <c r="Q114" s="851">
        <f t="shared" si="61"/>
        <v>0</v>
      </c>
      <c r="R114" s="2104"/>
      <c r="S114" s="1454"/>
      <c r="T114" s="1455"/>
      <c r="U114" s="1887">
        <f t="shared" si="43"/>
        <v>0</v>
      </c>
      <c r="V114" s="1455"/>
      <c r="W114" s="1454"/>
      <c r="X114" s="1456"/>
    </row>
    <row r="115" spans="1:24" ht="11.25" customHeight="1" x14ac:dyDescent="0.25">
      <c r="A115" s="1028">
        <f>'Org structure'!E108</f>
        <v>0</v>
      </c>
      <c r="B115" s="171"/>
      <c r="C115" s="1454"/>
      <c r="D115" s="1454"/>
      <c r="E115" s="1455"/>
      <c r="F115" s="2104"/>
      <c r="G115" s="1454"/>
      <c r="H115" s="2103"/>
      <c r="I115" s="1455"/>
      <c r="J115" s="1894">
        <f t="shared" si="58"/>
        <v>0</v>
      </c>
      <c r="K115" s="815">
        <f t="shared" si="59"/>
        <v>0</v>
      </c>
      <c r="L115" s="1895">
        <f t="shared" si="60"/>
        <v>0</v>
      </c>
      <c r="M115" s="198"/>
      <c r="N115" s="2104"/>
      <c r="O115" s="1454"/>
      <c r="P115" s="2103"/>
      <c r="Q115" s="851">
        <f t="shared" si="61"/>
        <v>0</v>
      </c>
      <c r="R115" s="2104"/>
      <c r="S115" s="1454"/>
      <c r="T115" s="1455"/>
      <c r="U115" s="1887">
        <f t="shared" si="43"/>
        <v>0</v>
      </c>
      <c r="V115" s="1455"/>
      <c r="W115" s="1454"/>
      <c r="X115" s="1456"/>
    </row>
    <row r="116" spans="1:24" ht="15" customHeight="1" x14ac:dyDescent="0.25">
      <c r="A116" s="1027" t="str">
        <f>'Org structure'!A12</f>
        <v>Vote 11 - [NAME OF VOTE 11]</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4">
        <f t="shared" si="62"/>
        <v>0</v>
      </c>
      <c r="K116" s="815">
        <f t="shared" si="62"/>
        <v>0</v>
      </c>
      <c r="L116" s="1895">
        <f t="shared" si="62"/>
        <v>0</v>
      </c>
      <c r="M116" s="198"/>
      <c r="N116" s="851">
        <f t="shared" ref="N116:X116" si="63">SUM(N117:N126)</f>
        <v>0</v>
      </c>
      <c r="O116" s="849">
        <f t="shared" si="63"/>
        <v>0</v>
      </c>
      <c r="P116" s="850">
        <f t="shared" si="63"/>
        <v>0</v>
      </c>
      <c r="Q116" s="851">
        <f t="shared" si="63"/>
        <v>0</v>
      </c>
      <c r="R116" s="851">
        <f t="shared" si="63"/>
        <v>0</v>
      </c>
      <c r="S116" s="849">
        <f t="shared" si="63"/>
        <v>0</v>
      </c>
      <c r="T116" s="1891">
        <f t="shared" si="63"/>
        <v>0</v>
      </c>
      <c r="U116" s="1887">
        <f t="shared" si="63"/>
        <v>0</v>
      </c>
      <c r="V116" s="1892">
        <f t="shared" si="63"/>
        <v>0</v>
      </c>
      <c r="W116" s="849">
        <f t="shared" si="63"/>
        <v>0</v>
      </c>
      <c r="X116" s="1893">
        <f t="shared" si="63"/>
        <v>0</v>
      </c>
    </row>
    <row r="117" spans="1:24" ht="11.25" customHeight="1" x14ac:dyDescent="0.25">
      <c r="A117" s="1028" t="str">
        <f>'Org structure'!E110</f>
        <v>11.1 - [Name of sub-vote]</v>
      </c>
      <c r="B117" s="171"/>
      <c r="C117" s="1454"/>
      <c r="D117" s="1454"/>
      <c r="E117" s="1455"/>
      <c r="F117" s="2104"/>
      <c r="G117" s="1454"/>
      <c r="H117" s="2103"/>
      <c r="I117" s="1455"/>
      <c r="J117" s="1894">
        <f t="shared" ref="J117:J126" si="64">Q117+V117</f>
        <v>0</v>
      </c>
      <c r="K117" s="815">
        <f t="shared" ref="K117:K126" si="65">U117+W117</f>
        <v>0</v>
      </c>
      <c r="L117" s="1895">
        <f t="shared" ref="L117:L126" si="66">X117</f>
        <v>0</v>
      </c>
      <c r="M117" s="198"/>
      <c r="N117" s="2104"/>
      <c r="O117" s="1454"/>
      <c r="P117" s="2103"/>
      <c r="Q117" s="851">
        <f t="shared" ref="Q117:Q126" si="67">SUM(N117:P117)</f>
        <v>0</v>
      </c>
      <c r="R117" s="2104"/>
      <c r="S117" s="1454"/>
      <c r="T117" s="1455"/>
      <c r="U117" s="1887">
        <f t="shared" si="43"/>
        <v>0</v>
      </c>
      <c r="V117" s="1455"/>
      <c r="W117" s="1454"/>
      <c r="X117" s="1456"/>
    </row>
    <row r="118" spans="1:24" ht="11.25" customHeight="1" x14ac:dyDescent="0.25">
      <c r="A118" s="1028">
        <f>'Org structure'!E111</f>
        <v>0</v>
      </c>
      <c r="B118" s="171"/>
      <c r="C118" s="1454"/>
      <c r="D118" s="1454"/>
      <c r="E118" s="1455"/>
      <c r="F118" s="2104"/>
      <c r="G118" s="1454"/>
      <c r="H118" s="2103"/>
      <c r="I118" s="1455"/>
      <c r="J118" s="1894">
        <f t="shared" si="64"/>
        <v>0</v>
      </c>
      <c r="K118" s="815">
        <f t="shared" si="65"/>
        <v>0</v>
      </c>
      <c r="L118" s="1895">
        <f t="shared" si="66"/>
        <v>0</v>
      </c>
      <c r="M118" s="198"/>
      <c r="N118" s="2104"/>
      <c r="O118" s="1454"/>
      <c r="P118" s="2103"/>
      <c r="Q118" s="851">
        <f t="shared" si="67"/>
        <v>0</v>
      </c>
      <c r="R118" s="2104"/>
      <c r="S118" s="1454"/>
      <c r="T118" s="1455"/>
      <c r="U118" s="1887">
        <f t="shared" si="43"/>
        <v>0</v>
      </c>
      <c r="V118" s="1455"/>
      <c r="W118" s="1454"/>
      <c r="X118" s="1456"/>
    </row>
    <row r="119" spans="1:24" ht="11.25" customHeight="1" x14ac:dyDescent="0.25">
      <c r="A119" s="1028">
        <f>'Org structure'!E112</f>
        <v>0</v>
      </c>
      <c r="B119" s="171"/>
      <c r="C119" s="1454"/>
      <c r="D119" s="1454"/>
      <c r="E119" s="1455"/>
      <c r="F119" s="2104"/>
      <c r="G119" s="1454"/>
      <c r="H119" s="2103"/>
      <c r="I119" s="1455"/>
      <c r="J119" s="1894">
        <f t="shared" si="64"/>
        <v>0</v>
      </c>
      <c r="K119" s="815">
        <f t="shared" si="65"/>
        <v>0</v>
      </c>
      <c r="L119" s="1895">
        <f t="shared" si="66"/>
        <v>0</v>
      </c>
      <c r="M119" s="198"/>
      <c r="N119" s="2104"/>
      <c r="O119" s="1454"/>
      <c r="P119" s="2103"/>
      <c r="Q119" s="851">
        <f t="shared" si="67"/>
        <v>0</v>
      </c>
      <c r="R119" s="2104"/>
      <c r="S119" s="1454"/>
      <c r="T119" s="1455"/>
      <c r="U119" s="1887">
        <f t="shared" si="43"/>
        <v>0</v>
      </c>
      <c r="V119" s="1455"/>
      <c r="W119" s="1454"/>
      <c r="X119" s="1456"/>
    </row>
    <row r="120" spans="1:24" ht="11.25" customHeight="1" x14ac:dyDescent="0.25">
      <c r="A120" s="1028">
        <f>'Org structure'!E113</f>
        <v>0</v>
      </c>
      <c r="B120" s="171"/>
      <c r="C120" s="1454"/>
      <c r="D120" s="1454"/>
      <c r="E120" s="1455"/>
      <c r="F120" s="2104"/>
      <c r="G120" s="1454"/>
      <c r="H120" s="2103"/>
      <c r="I120" s="1455"/>
      <c r="J120" s="1894">
        <f t="shared" si="64"/>
        <v>0</v>
      </c>
      <c r="K120" s="815">
        <f t="shared" si="65"/>
        <v>0</v>
      </c>
      <c r="L120" s="1895">
        <f t="shared" si="66"/>
        <v>0</v>
      </c>
      <c r="M120" s="198"/>
      <c r="N120" s="2104"/>
      <c r="O120" s="1454"/>
      <c r="P120" s="2103"/>
      <c r="Q120" s="851">
        <f t="shared" si="67"/>
        <v>0</v>
      </c>
      <c r="R120" s="2104"/>
      <c r="S120" s="1454"/>
      <c r="T120" s="1455"/>
      <c r="U120" s="1887">
        <f t="shared" si="43"/>
        <v>0</v>
      </c>
      <c r="V120" s="1455"/>
      <c r="W120" s="1454"/>
      <c r="X120" s="1456"/>
    </row>
    <row r="121" spans="1:24" ht="11.25" customHeight="1" x14ac:dyDescent="0.25">
      <c r="A121" s="1028">
        <f>'Org structure'!E114</f>
        <v>0</v>
      </c>
      <c r="B121" s="171"/>
      <c r="C121" s="1454"/>
      <c r="D121" s="1454"/>
      <c r="E121" s="1455"/>
      <c r="F121" s="2104"/>
      <c r="G121" s="1454"/>
      <c r="H121" s="2103"/>
      <c r="I121" s="1455"/>
      <c r="J121" s="1894">
        <f t="shared" si="64"/>
        <v>0</v>
      </c>
      <c r="K121" s="815">
        <f t="shared" si="65"/>
        <v>0</v>
      </c>
      <c r="L121" s="1895">
        <f t="shared" si="66"/>
        <v>0</v>
      </c>
      <c r="M121" s="198"/>
      <c r="N121" s="2104"/>
      <c r="O121" s="1454"/>
      <c r="P121" s="2103"/>
      <c r="Q121" s="851">
        <f t="shared" si="67"/>
        <v>0</v>
      </c>
      <c r="R121" s="2104"/>
      <c r="S121" s="1454"/>
      <c r="T121" s="1455"/>
      <c r="U121" s="1887">
        <f t="shared" si="43"/>
        <v>0</v>
      </c>
      <c r="V121" s="1455"/>
      <c r="W121" s="1454"/>
      <c r="X121" s="1456"/>
    </row>
    <row r="122" spans="1:24" ht="11.25" customHeight="1" x14ac:dyDescent="0.25">
      <c r="A122" s="1028">
        <f>'Org structure'!E115</f>
        <v>0</v>
      </c>
      <c r="B122" s="171"/>
      <c r="C122" s="1454"/>
      <c r="D122" s="1454"/>
      <c r="E122" s="1455"/>
      <c r="F122" s="2104"/>
      <c r="G122" s="1454"/>
      <c r="H122" s="2103"/>
      <c r="I122" s="1455"/>
      <c r="J122" s="1894">
        <f t="shared" si="64"/>
        <v>0</v>
      </c>
      <c r="K122" s="815">
        <f t="shared" si="65"/>
        <v>0</v>
      </c>
      <c r="L122" s="1895">
        <f t="shared" si="66"/>
        <v>0</v>
      </c>
      <c r="M122" s="198"/>
      <c r="N122" s="2104"/>
      <c r="O122" s="1454"/>
      <c r="P122" s="2103"/>
      <c r="Q122" s="851">
        <f t="shared" si="67"/>
        <v>0</v>
      </c>
      <c r="R122" s="2104"/>
      <c r="S122" s="1454"/>
      <c r="T122" s="1455"/>
      <c r="U122" s="1887">
        <f t="shared" si="43"/>
        <v>0</v>
      </c>
      <c r="V122" s="1455"/>
      <c r="W122" s="1454"/>
      <c r="X122" s="1456"/>
    </row>
    <row r="123" spans="1:24" ht="11.25" customHeight="1" x14ac:dyDescent="0.25">
      <c r="A123" s="1028">
        <f>'Org structure'!E116</f>
        <v>0</v>
      </c>
      <c r="B123" s="171"/>
      <c r="C123" s="1454"/>
      <c r="D123" s="1454"/>
      <c r="E123" s="1455"/>
      <c r="F123" s="2104"/>
      <c r="G123" s="1454"/>
      <c r="H123" s="2103"/>
      <c r="I123" s="1455"/>
      <c r="J123" s="1894">
        <f t="shared" si="64"/>
        <v>0</v>
      </c>
      <c r="K123" s="815">
        <f t="shared" si="65"/>
        <v>0</v>
      </c>
      <c r="L123" s="1895">
        <f t="shared" si="66"/>
        <v>0</v>
      </c>
      <c r="M123" s="198"/>
      <c r="N123" s="2104"/>
      <c r="O123" s="1454"/>
      <c r="P123" s="2103"/>
      <c r="Q123" s="851">
        <f t="shared" si="67"/>
        <v>0</v>
      </c>
      <c r="R123" s="2104"/>
      <c r="S123" s="1454"/>
      <c r="T123" s="1455"/>
      <c r="U123" s="1887">
        <f t="shared" si="43"/>
        <v>0</v>
      </c>
      <c r="V123" s="1455"/>
      <c r="W123" s="1454"/>
      <c r="X123" s="1456"/>
    </row>
    <row r="124" spans="1:24" ht="11.25" customHeight="1" x14ac:dyDescent="0.25">
      <c r="A124" s="1028">
        <f>'Org structure'!E117</f>
        <v>0</v>
      </c>
      <c r="B124" s="171"/>
      <c r="C124" s="1454"/>
      <c r="D124" s="1454"/>
      <c r="E124" s="1455"/>
      <c r="F124" s="2104"/>
      <c r="G124" s="1454"/>
      <c r="H124" s="2103"/>
      <c r="I124" s="1455"/>
      <c r="J124" s="1894">
        <f t="shared" si="64"/>
        <v>0</v>
      </c>
      <c r="K124" s="815">
        <f t="shared" si="65"/>
        <v>0</v>
      </c>
      <c r="L124" s="1895">
        <f t="shared" si="66"/>
        <v>0</v>
      </c>
      <c r="M124" s="198"/>
      <c r="N124" s="2104"/>
      <c r="O124" s="1454"/>
      <c r="P124" s="2103"/>
      <c r="Q124" s="851">
        <f t="shared" si="67"/>
        <v>0</v>
      </c>
      <c r="R124" s="2104"/>
      <c r="S124" s="1454"/>
      <c r="T124" s="1455"/>
      <c r="U124" s="1887">
        <f t="shared" si="43"/>
        <v>0</v>
      </c>
      <c r="V124" s="1455"/>
      <c r="W124" s="1454"/>
      <c r="X124" s="1456"/>
    </row>
    <row r="125" spans="1:24" ht="11.25" customHeight="1" x14ac:dyDescent="0.25">
      <c r="A125" s="1028">
        <f>'Org structure'!E118</f>
        <v>0</v>
      </c>
      <c r="B125" s="171"/>
      <c r="C125" s="1454"/>
      <c r="D125" s="1454"/>
      <c r="E125" s="1455"/>
      <c r="F125" s="2104"/>
      <c r="G125" s="1454"/>
      <c r="H125" s="2103"/>
      <c r="I125" s="1455"/>
      <c r="J125" s="1894">
        <f t="shared" si="64"/>
        <v>0</v>
      </c>
      <c r="K125" s="815">
        <f t="shared" si="65"/>
        <v>0</v>
      </c>
      <c r="L125" s="1895">
        <f t="shared" si="66"/>
        <v>0</v>
      </c>
      <c r="M125" s="198"/>
      <c r="N125" s="2104"/>
      <c r="O125" s="1454"/>
      <c r="P125" s="2103"/>
      <c r="Q125" s="851">
        <f t="shared" si="67"/>
        <v>0</v>
      </c>
      <c r="R125" s="2104"/>
      <c r="S125" s="1454"/>
      <c r="T125" s="1455"/>
      <c r="U125" s="1887">
        <f t="shared" si="43"/>
        <v>0</v>
      </c>
      <c r="V125" s="1455"/>
      <c r="W125" s="1454"/>
      <c r="X125" s="1456"/>
    </row>
    <row r="126" spans="1:24" ht="11.25" customHeight="1" x14ac:dyDescent="0.25">
      <c r="A126" s="1028">
        <f>'Org structure'!E119</f>
        <v>0</v>
      </c>
      <c r="B126" s="171"/>
      <c r="C126" s="1454"/>
      <c r="D126" s="1454"/>
      <c r="E126" s="1455"/>
      <c r="F126" s="2104"/>
      <c r="G126" s="1454"/>
      <c r="H126" s="2103"/>
      <c r="I126" s="1455"/>
      <c r="J126" s="1894">
        <f t="shared" si="64"/>
        <v>0</v>
      </c>
      <c r="K126" s="815">
        <f t="shared" si="65"/>
        <v>0</v>
      </c>
      <c r="L126" s="1895">
        <f t="shared" si="66"/>
        <v>0</v>
      </c>
      <c r="M126" s="198"/>
      <c r="N126" s="2104"/>
      <c r="O126" s="1454"/>
      <c r="P126" s="2103"/>
      <c r="Q126" s="851">
        <f t="shared" si="67"/>
        <v>0</v>
      </c>
      <c r="R126" s="2104"/>
      <c r="S126" s="1454"/>
      <c r="T126" s="1455"/>
      <c r="U126" s="1887">
        <f t="shared" si="43"/>
        <v>0</v>
      </c>
      <c r="V126" s="1455"/>
      <c r="W126" s="1454"/>
      <c r="X126" s="1456"/>
    </row>
    <row r="127" spans="1:24" ht="15" customHeight="1" x14ac:dyDescent="0.25">
      <c r="A127" s="1027" t="str">
        <f>'Org structure'!A13</f>
        <v>Vote 12 - [NAME OF VOTE 12]</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4">
        <f t="shared" si="68"/>
        <v>0</v>
      </c>
      <c r="K127" s="815">
        <f t="shared" si="68"/>
        <v>0</v>
      </c>
      <c r="L127" s="1895">
        <f t="shared" si="68"/>
        <v>0</v>
      </c>
      <c r="M127" s="198"/>
      <c r="N127" s="851">
        <f t="shared" ref="N127:X127" si="69">SUM(N128:N137)</f>
        <v>0</v>
      </c>
      <c r="O127" s="849">
        <f t="shared" si="69"/>
        <v>0</v>
      </c>
      <c r="P127" s="850">
        <f t="shared" si="69"/>
        <v>0</v>
      </c>
      <c r="Q127" s="851">
        <f t="shared" si="69"/>
        <v>0</v>
      </c>
      <c r="R127" s="851">
        <f t="shared" si="69"/>
        <v>0</v>
      </c>
      <c r="S127" s="849">
        <f t="shared" si="69"/>
        <v>0</v>
      </c>
      <c r="T127" s="1891">
        <f t="shared" si="69"/>
        <v>0</v>
      </c>
      <c r="U127" s="1887">
        <f t="shared" si="69"/>
        <v>0</v>
      </c>
      <c r="V127" s="1892">
        <f t="shared" si="69"/>
        <v>0</v>
      </c>
      <c r="W127" s="849">
        <f t="shared" si="69"/>
        <v>0</v>
      </c>
      <c r="X127" s="1893">
        <f t="shared" si="69"/>
        <v>0</v>
      </c>
    </row>
    <row r="128" spans="1:24" ht="11.25" customHeight="1" x14ac:dyDescent="0.25">
      <c r="A128" s="1028" t="str">
        <f>'Org structure'!E121</f>
        <v>12.1 - [Name of sub-vote]</v>
      </c>
      <c r="B128" s="171"/>
      <c r="C128" s="1454"/>
      <c r="D128" s="1454"/>
      <c r="E128" s="1455"/>
      <c r="F128" s="2104"/>
      <c r="G128" s="1454"/>
      <c r="H128" s="2103"/>
      <c r="I128" s="1455"/>
      <c r="J128" s="1894">
        <f t="shared" ref="J128:J137" si="70">Q128+V128</f>
        <v>0</v>
      </c>
      <c r="K128" s="815">
        <f t="shared" ref="K128:K137" si="71">U128+W128</f>
        <v>0</v>
      </c>
      <c r="L128" s="1895">
        <f t="shared" ref="L128:L137" si="72">X128</f>
        <v>0</v>
      </c>
      <c r="M128" s="198"/>
      <c r="N128" s="2104"/>
      <c r="O128" s="1454"/>
      <c r="P128" s="2103"/>
      <c r="Q128" s="851">
        <f t="shared" ref="Q128:Q137" si="73">SUM(N128:P128)</f>
        <v>0</v>
      </c>
      <c r="R128" s="2104"/>
      <c r="S128" s="1454"/>
      <c r="T128" s="1455"/>
      <c r="U128" s="1887">
        <f t="shared" si="43"/>
        <v>0</v>
      </c>
      <c r="V128" s="1455"/>
      <c r="W128" s="1454"/>
      <c r="X128" s="1456"/>
    </row>
    <row r="129" spans="1:24" ht="11.25" customHeight="1" x14ac:dyDescent="0.25">
      <c r="A129" s="1028">
        <f>'Org structure'!E122</f>
        <v>0</v>
      </c>
      <c r="B129" s="171"/>
      <c r="C129" s="1454"/>
      <c r="D129" s="1454"/>
      <c r="E129" s="1455"/>
      <c r="F129" s="2104"/>
      <c r="G129" s="1454"/>
      <c r="H129" s="2103"/>
      <c r="I129" s="1455"/>
      <c r="J129" s="1894">
        <f t="shared" si="70"/>
        <v>0</v>
      </c>
      <c r="K129" s="815">
        <f t="shared" si="71"/>
        <v>0</v>
      </c>
      <c r="L129" s="1895">
        <f t="shared" si="72"/>
        <v>0</v>
      </c>
      <c r="M129" s="198"/>
      <c r="N129" s="2104"/>
      <c r="O129" s="1454"/>
      <c r="P129" s="2103"/>
      <c r="Q129" s="851">
        <f t="shared" si="73"/>
        <v>0</v>
      </c>
      <c r="R129" s="2104"/>
      <c r="S129" s="1454"/>
      <c r="T129" s="1455"/>
      <c r="U129" s="1887">
        <f t="shared" si="43"/>
        <v>0</v>
      </c>
      <c r="V129" s="1455"/>
      <c r="W129" s="1454"/>
      <c r="X129" s="1456"/>
    </row>
    <row r="130" spans="1:24" ht="11.25" customHeight="1" x14ac:dyDescent="0.25">
      <c r="A130" s="1028">
        <f>'Org structure'!E123</f>
        <v>0</v>
      </c>
      <c r="B130" s="171"/>
      <c r="C130" s="1454"/>
      <c r="D130" s="1454"/>
      <c r="E130" s="1455"/>
      <c r="F130" s="2104"/>
      <c r="G130" s="1454"/>
      <c r="H130" s="2103"/>
      <c r="I130" s="1455"/>
      <c r="J130" s="1894">
        <f t="shared" si="70"/>
        <v>0</v>
      </c>
      <c r="K130" s="815">
        <f t="shared" si="71"/>
        <v>0</v>
      </c>
      <c r="L130" s="1895">
        <f t="shared" si="72"/>
        <v>0</v>
      </c>
      <c r="M130" s="198"/>
      <c r="N130" s="2104"/>
      <c r="O130" s="1454"/>
      <c r="P130" s="2103"/>
      <c r="Q130" s="851">
        <f t="shared" si="73"/>
        <v>0</v>
      </c>
      <c r="R130" s="2104"/>
      <c r="S130" s="1454"/>
      <c r="T130" s="1455"/>
      <c r="U130" s="1887">
        <f t="shared" si="43"/>
        <v>0</v>
      </c>
      <c r="V130" s="1455"/>
      <c r="W130" s="1454"/>
      <c r="X130" s="1456"/>
    </row>
    <row r="131" spans="1:24" ht="11.25" customHeight="1" x14ac:dyDescent="0.25">
      <c r="A131" s="1028">
        <f>'Org structure'!E124</f>
        <v>0</v>
      </c>
      <c r="B131" s="171"/>
      <c r="C131" s="1454"/>
      <c r="D131" s="1454"/>
      <c r="E131" s="1455"/>
      <c r="F131" s="2104"/>
      <c r="G131" s="1454"/>
      <c r="H131" s="2103"/>
      <c r="I131" s="1455"/>
      <c r="J131" s="1894">
        <f t="shared" si="70"/>
        <v>0</v>
      </c>
      <c r="K131" s="815">
        <f t="shared" si="71"/>
        <v>0</v>
      </c>
      <c r="L131" s="1895">
        <f t="shared" si="72"/>
        <v>0</v>
      </c>
      <c r="M131" s="198"/>
      <c r="N131" s="2104"/>
      <c r="O131" s="1454"/>
      <c r="P131" s="2103"/>
      <c r="Q131" s="851">
        <f t="shared" si="73"/>
        <v>0</v>
      </c>
      <c r="R131" s="2104"/>
      <c r="S131" s="1454"/>
      <c r="T131" s="1455"/>
      <c r="U131" s="1887">
        <f t="shared" si="43"/>
        <v>0</v>
      </c>
      <c r="V131" s="1455"/>
      <c r="W131" s="1454"/>
      <c r="X131" s="1456"/>
    </row>
    <row r="132" spans="1:24" ht="11.25" customHeight="1" x14ac:dyDescent="0.25">
      <c r="A132" s="1028">
        <f>'Org structure'!E125</f>
        <v>0</v>
      </c>
      <c r="B132" s="171"/>
      <c r="C132" s="1454"/>
      <c r="D132" s="1454"/>
      <c r="E132" s="1455"/>
      <c r="F132" s="2104"/>
      <c r="G132" s="1454"/>
      <c r="H132" s="2103"/>
      <c r="I132" s="1455"/>
      <c r="J132" s="1894">
        <f t="shared" si="70"/>
        <v>0</v>
      </c>
      <c r="K132" s="815">
        <f t="shared" si="71"/>
        <v>0</v>
      </c>
      <c r="L132" s="1895">
        <f t="shared" si="72"/>
        <v>0</v>
      </c>
      <c r="M132" s="198"/>
      <c r="N132" s="2104"/>
      <c r="O132" s="1454"/>
      <c r="P132" s="2103"/>
      <c r="Q132" s="851">
        <f t="shared" si="73"/>
        <v>0</v>
      </c>
      <c r="R132" s="2104"/>
      <c r="S132" s="1454"/>
      <c r="T132" s="1455"/>
      <c r="U132" s="1887">
        <f t="shared" si="43"/>
        <v>0</v>
      </c>
      <c r="V132" s="1455"/>
      <c r="W132" s="1454"/>
      <c r="X132" s="1456"/>
    </row>
    <row r="133" spans="1:24" ht="11.25" customHeight="1" x14ac:dyDescent="0.25">
      <c r="A133" s="1028">
        <f>'Org structure'!E126</f>
        <v>0</v>
      </c>
      <c r="B133" s="171"/>
      <c r="C133" s="1454"/>
      <c r="D133" s="1454"/>
      <c r="E133" s="1455"/>
      <c r="F133" s="2104"/>
      <c r="G133" s="1454"/>
      <c r="H133" s="2103"/>
      <c r="I133" s="1455"/>
      <c r="J133" s="1894">
        <f>Q133+V133</f>
        <v>0</v>
      </c>
      <c r="K133" s="815">
        <f t="shared" si="71"/>
        <v>0</v>
      </c>
      <c r="L133" s="1895">
        <f t="shared" si="72"/>
        <v>0</v>
      </c>
      <c r="M133" s="198"/>
      <c r="N133" s="2104"/>
      <c r="O133" s="1454"/>
      <c r="P133" s="2103"/>
      <c r="Q133" s="851">
        <f t="shared" si="73"/>
        <v>0</v>
      </c>
      <c r="R133" s="2104"/>
      <c r="S133" s="1454"/>
      <c r="T133" s="1455"/>
      <c r="U133" s="1887">
        <f t="shared" si="43"/>
        <v>0</v>
      </c>
      <c r="V133" s="1455"/>
      <c r="W133" s="1454"/>
      <c r="X133" s="1456"/>
    </row>
    <row r="134" spans="1:24" ht="11.25" customHeight="1" x14ac:dyDescent="0.25">
      <c r="A134" s="1028">
        <f>'Org structure'!E127</f>
        <v>0</v>
      </c>
      <c r="B134" s="171"/>
      <c r="C134" s="1454"/>
      <c r="D134" s="1454"/>
      <c r="E134" s="1455"/>
      <c r="F134" s="2104"/>
      <c r="G134" s="1454"/>
      <c r="H134" s="2103"/>
      <c r="I134" s="1455"/>
      <c r="J134" s="1894">
        <f t="shared" si="70"/>
        <v>0</v>
      </c>
      <c r="K134" s="815">
        <f t="shared" si="71"/>
        <v>0</v>
      </c>
      <c r="L134" s="1895">
        <f t="shared" si="72"/>
        <v>0</v>
      </c>
      <c r="M134" s="198"/>
      <c r="N134" s="2104"/>
      <c r="O134" s="1454"/>
      <c r="P134" s="2103"/>
      <c r="Q134" s="851">
        <f t="shared" si="73"/>
        <v>0</v>
      </c>
      <c r="R134" s="2104"/>
      <c r="S134" s="1454"/>
      <c r="T134" s="1455"/>
      <c r="U134" s="1887">
        <f t="shared" si="43"/>
        <v>0</v>
      </c>
      <c r="V134" s="1455"/>
      <c r="W134" s="1454"/>
      <c r="X134" s="1456"/>
    </row>
    <row r="135" spans="1:24" ht="11.25" customHeight="1" x14ac:dyDescent="0.25">
      <c r="A135" s="1028">
        <f>'Org structure'!E128</f>
        <v>0</v>
      </c>
      <c r="B135" s="171"/>
      <c r="C135" s="1454"/>
      <c r="D135" s="1454"/>
      <c r="E135" s="1455"/>
      <c r="F135" s="2104"/>
      <c r="G135" s="1454"/>
      <c r="H135" s="2103"/>
      <c r="I135" s="1455"/>
      <c r="J135" s="1894">
        <f t="shared" si="70"/>
        <v>0</v>
      </c>
      <c r="K135" s="815">
        <f t="shared" si="71"/>
        <v>0</v>
      </c>
      <c r="L135" s="1895">
        <f t="shared" si="72"/>
        <v>0</v>
      </c>
      <c r="M135" s="198"/>
      <c r="N135" s="2104"/>
      <c r="O135" s="1454"/>
      <c r="P135" s="2103"/>
      <c r="Q135" s="851">
        <f t="shared" si="73"/>
        <v>0</v>
      </c>
      <c r="R135" s="2104"/>
      <c r="S135" s="1454"/>
      <c r="T135" s="1455"/>
      <c r="U135" s="1887">
        <f t="shared" si="43"/>
        <v>0</v>
      </c>
      <c r="V135" s="1455"/>
      <c r="W135" s="1454"/>
      <c r="X135" s="1456"/>
    </row>
    <row r="136" spans="1:24" ht="11.25" customHeight="1" x14ac:dyDescent="0.25">
      <c r="A136" s="1028">
        <f>'Org structure'!E129</f>
        <v>0</v>
      </c>
      <c r="B136" s="171"/>
      <c r="C136" s="1454"/>
      <c r="D136" s="1454"/>
      <c r="E136" s="1455"/>
      <c r="F136" s="2104"/>
      <c r="G136" s="1454"/>
      <c r="H136" s="2103"/>
      <c r="I136" s="1455"/>
      <c r="J136" s="1894">
        <f t="shared" si="70"/>
        <v>0</v>
      </c>
      <c r="K136" s="815">
        <f t="shared" si="71"/>
        <v>0</v>
      </c>
      <c r="L136" s="1895">
        <f t="shared" si="72"/>
        <v>0</v>
      </c>
      <c r="M136" s="198"/>
      <c r="N136" s="2104"/>
      <c r="O136" s="1454"/>
      <c r="P136" s="2103"/>
      <c r="Q136" s="851">
        <f t="shared" si="73"/>
        <v>0</v>
      </c>
      <c r="R136" s="2104"/>
      <c r="S136" s="1454"/>
      <c r="T136" s="1455"/>
      <c r="U136" s="1887">
        <f t="shared" ref="U136:U170" si="74">SUM(R136:T136)</f>
        <v>0</v>
      </c>
      <c r="V136" s="1455"/>
      <c r="W136" s="1454"/>
      <c r="X136" s="1456"/>
    </row>
    <row r="137" spans="1:24" ht="11.25" customHeight="1" x14ac:dyDescent="0.25">
      <c r="A137" s="1028">
        <f>'Org structure'!E130</f>
        <v>0</v>
      </c>
      <c r="B137" s="171"/>
      <c r="C137" s="1454"/>
      <c r="D137" s="1454"/>
      <c r="E137" s="1455"/>
      <c r="F137" s="2104"/>
      <c r="G137" s="1454"/>
      <c r="H137" s="2103"/>
      <c r="I137" s="1455"/>
      <c r="J137" s="1894">
        <f t="shared" si="70"/>
        <v>0</v>
      </c>
      <c r="K137" s="815">
        <f t="shared" si="71"/>
        <v>0</v>
      </c>
      <c r="L137" s="1895">
        <f t="shared" si="72"/>
        <v>0</v>
      </c>
      <c r="M137" s="198"/>
      <c r="N137" s="2104"/>
      <c r="O137" s="1454"/>
      <c r="P137" s="2103"/>
      <c r="Q137" s="851">
        <f t="shared" si="73"/>
        <v>0</v>
      </c>
      <c r="R137" s="2104"/>
      <c r="S137" s="1454"/>
      <c r="T137" s="1455"/>
      <c r="U137" s="1887">
        <f t="shared" si="74"/>
        <v>0</v>
      </c>
      <c r="V137" s="1455"/>
      <c r="W137" s="1454"/>
      <c r="X137" s="1456"/>
    </row>
    <row r="138" spans="1:24" ht="15" customHeight="1" x14ac:dyDescent="0.25">
      <c r="A138" s="1027" t="str">
        <f>'Org structure'!A14</f>
        <v>Vote 13 - [NAME OF VOTE 13]</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4">
        <f t="shared" si="75"/>
        <v>0</v>
      </c>
      <c r="K138" s="815">
        <f t="shared" si="75"/>
        <v>0</v>
      </c>
      <c r="L138" s="1895">
        <f t="shared" si="75"/>
        <v>0</v>
      </c>
      <c r="M138" s="198"/>
      <c r="N138" s="851">
        <f t="shared" ref="N138:X138" si="76">SUM(N139:N148)</f>
        <v>0</v>
      </c>
      <c r="O138" s="849">
        <f t="shared" si="76"/>
        <v>0</v>
      </c>
      <c r="P138" s="850">
        <f t="shared" si="76"/>
        <v>0</v>
      </c>
      <c r="Q138" s="851">
        <f t="shared" si="76"/>
        <v>0</v>
      </c>
      <c r="R138" s="851">
        <f t="shared" si="76"/>
        <v>0</v>
      </c>
      <c r="S138" s="849">
        <f t="shared" si="76"/>
        <v>0</v>
      </c>
      <c r="T138" s="1891">
        <f t="shared" si="76"/>
        <v>0</v>
      </c>
      <c r="U138" s="1887">
        <f t="shared" si="76"/>
        <v>0</v>
      </c>
      <c r="V138" s="1892">
        <f t="shared" si="76"/>
        <v>0</v>
      </c>
      <c r="W138" s="849">
        <f t="shared" si="76"/>
        <v>0</v>
      </c>
      <c r="X138" s="1893">
        <f t="shared" si="76"/>
        <v>0</v>
      </c>
    </row>
    <row r="139" spans="1:24" ht="11.25" customHeight="1" x14ac:dyDescent="0.25">
      <c r="A139" s="1028" t="str">
        <f>'Org structure'!E132</f>
        <v>13.1 - [Name of sub-vote]</v>
      </c>
      <c r="B139" s="171"/>
      <c r="C139" s="1454"/>
      <c r="D139" s="1454"/>
      <c r="E139" s="1455"/>
      <c r="F139" s="2104"/>
      <c r="G139" s="1454"/>
      <c r="H139" s="2103"/>
      <c r="I139" s="1455"/>
      <c r="J139" s="1894">
        <f t="shared" ref="J139:J148" si="77">Q139+V139</f>
        <v>0</v>
      </c>
      <c r="K139" s="815">
        <f t="shared" ref="K139:K148" si="78">U139+W139</f>
        <v>0</v>
      </c>
      <c r="L139" s="1895">
        <f t="shared" ref="L139:L148" si="79">X139</f>
        <v>0</v>
      </c>
      <c r="M139" s="198"/>
      <c r="N139" s="2104"/>
      <c r="O139" s="1454"/>
      <c r="P139" s="2103"/>
      <c r="Q139" s="851">
        <f t="shared" ref="Q139:Q148" si="80">SUM(N139:P139)</f>
        <v>0</v>
      </c>
      <c r="R139" s="2104"/>
      <c r="S139" s="1454"/>
      <c r="T139" s="1455"/>
      <c r="U139" s="1887">
        <f t="shared" si="74"/>
        <v>0</v>
      </c>
      <c r="V139" s="1455"/>
      <c r="W139" s="1454"/>
      <c r="X139" s="1456"/>
    </row>
    <row r="140" spans="1:24" ht="11.25" customHeight="1" x14ac:dyDescent="0.25">
      <c r="A140" s="1028">
        <f>'Org structure'!E133</f>
        <v>0</v>
      </c>
      <c r="B140" s="171"/>
      <c r="C140" s="1454"/>
      <c r="D140" s="1454"/>
      <c r="E140" s="1455"/>
      <c r="F140" s="2104"/>
      <c r="G140" s="1454"/>
      <c r="H140" s="2103"/>
      <c r="I140" s="1455"/>
      <c r="J140" s="1894">
        <f t="shared" si="77"/>
        <v>0</v>
      </c>
      <c r="K140" s="815">
        <f t="shared" si="78"/>
        <v>0</v>
      </c>
      <c r="L140" s="1895">
        <f t="shared" si="79"/>
        <v>0</v>
      </c>
      <c r="M140" s="198"/>
      <c r="N140" s="2104"/>
      <c r="O140" s="1454"/>
      <c r="P140" s="2103"/>
      <c r="Q140" s="851">
        <f t="shared" si="80"/>
        <v>0</v>
      </c>
      <c r="R140" s="2104"/>
      <c r="S140" s="1454"/>
      <c r="T140" s="1455"/>
      <c r="U140" s="1887">
        <f t="shared" si="74"/>
        <v>0</v>
      </c>
      <c r="V140" s="1455"/>
      <c r="W140" s="1454"/>
      <c r="X140" s="1456"/>
    </row>
    <row r="141" spans="1:24" ht="11.25" customHeight="1" x14ac:dyDescent="0.25">
      <c r="A141" s="1028">
        <f>'Org structure'!E134</f>
        <v>0</v>
      </c>
      <c r="B141" s="171"/>
      <c r="C141" s="1454"/>
      <c r="D141" s="1454"/>
      <c r="E141" s="1455"/>
      <c r="F141" s="2104"/>
      <c r="G141" s="1454"/>
      <c r="H141" s="2103"/>
      <c r="I141" s="1455"/>
      <c r="J141" s="1894">
        <f t="shared" si="77"/>
        <v>0</v>
      </c>
      <c r="K141" s="815">
        <f t="shared" si="78"/>
        <v>0</v>
      </c>
      <c r="L141" s="1895">
        <f t="shared" si="79"/>
        <v>0</v>
      </c>
      <c r="M141" s="198"/>
      <c r="N141" s="2104"/>
      <c r="O141" s="1454"/>
      <c r="P141" s="2103"/>
      <c r="Q141" s="851">
        <f t="shared" si="80"/>
        <v>0</v>
      </c>
      <c r="R141" s="2104"/>
      <c r="S141" s="1454"/>
      <c r="T141" s="1455"/>
      <c r="U141" s="1887">
        <f t="shared" si="74"/>
        <v>0</v>
      </c>
      <c r="V141" s="1455"/>
      <c r="W141" s="1454"/>
      <c r="X141" s="1456"/>
    </row>
    <row r="142" spans="1:24" ht="11.25" customHeight="1" x14ac:dyDescent="0.25">
      <c r="A142" s="1028">
        <f>'Org structure'!E135</f>
        <v>0</v>
      </c>
      <c r="B142" s="171"/>
      <c r="C142" s="1454"/>
      <c r="D142" s="1454"/>
      <c r="E142" s="1455"/>
      <c r="F142" s="2104"/>
      <c r="G142" s="1454"/>
      <c r="H142" s="2103"/>
      <c r="I142" s="1455"/>
      <c r="J142" s="1894">
        <f t="shared" si="77"/>
        <v>0</v>
      </c>
      <c r="K142" s="815">
        <f t="shared" si="78"/>
        <v>0</v>
      </c>
      <c r="L142" s="1895">
        <f t="shared" si="79"/>
        <v>0</v>
      </c>
      <c r="M142" s="198"/>
      <c r="N142" s="2104"/>
      <c r="O142" s="1454"/>
      <c r="P142" s="2103"/>
      <c r="Q142" s="851">
        <f t="shared" si="80"/>
        <v>0</v>
      </c>
      <c r="R142" s="2104"/>
      <c r="S142" s="1454"/>
      <c r="T142" s="1455"/>
      <c r="U142" s="1887">
        <f t="shared" si="74"/>
        <v>0</v>
      </c>
      <c r="V142" s="1455"/>
      <c r="W142" s="1454"/>
      <c r="X142" s="1456"/>
    </row>
    <row r="143" spans="1:24" ht="11.25" customHeight="1" x14ac:dyDescent="0.25">
      <c r="A143" s="1028">
        <f>'Org structure'!E136</f>
        <v>0</v>
      </c>
      <c r="B143" s="171"/>
      <c r="C143" s="1454"/>
      <c r="D143" s="1454"/>
      <c r="E143" s="1455"/>
      <c r="F143" s="2104"/>
      <c r="G143" s="1454"/>
      <c r="H143" s="2103"/>
      <c r="I143" s="1455"/>
      <c r="J143" s="1894">
        <f t="shared" si="77"/>
        <v>0</v>
      </c>
      <c r="K143" s="815">
        <f t="shared" si="78"/>
        <v>0</v>
      </c>
      <c r="L143" s="1895">
        <f t="shared" si="79"/>
        <v>0</v>
      </c>
      <c r="M143" s="198"/>
      <c r="N143" s="2104"/>
      <c r="O143" s="1454"/>
      <c r="P143" s="2103"/>
      <c r="Q143" s="851">
        <f t="shared" si="80"/>
        <v>0</v>
      </c>
      <c r="R143" s="2104"/>
      <c r="S143" s="1454"/>
      <c r="T143" s="1455"/>
      <c r="U143" s="1887">
        <f t="shared" si="74"/>
        <v>0</v>
      </c>
      <c r="V143" s="1455"/>
      <c r="W143" s="1454"/>
      <c r="X143" s="1456"/>
    </row>
    <row r="144" spans="1:24" ht="11.25" customHeight="1" x14ac:dyDescent="0.25">
      <c r="A144" s="1028">
        <f>'Org structure'!E137</f>
        <v>0</v>
      </c>
      <c r="B144" s="171"/>
      <c r="C144" s="1454"/>
      <c r="D144" s="1454"/>
      <c r="E144" s="1455"/>
      <c r="F144" s="2104"/>
      <c r="G144" s="1454"/>
      <c r="H144" s="2103"/>
      <c r="I144" s="1455"/>
      <c r="J144" s="1894">
        <f t="shared" si="77"/>
        <v>0</v>
      </c>
      <c r="K144" s="815">
        <f t="shared" si="78"/>
        <v>0</v>
      </c>
      <c r="L144" s="1895">
        <f t="shared" si="79"/>
        <v>0</v>
      </c>
      <c r="M144" s="198"/>
      <c r="N144" s="2104"/>
      <c r="O144" s="1454"/>
      <c r="P144" s="2103"/>
      <c r="Q144" s="851">
        <f t="shared" si="80"/>
        <v>0</v>
      </c>
      <c r="R144" s="2104"/>
      <c r="S144" s="1454"/>
      <c r="T144" s="1455"/>
      <c r="U144" s="1887">
        <f t="shared" si="74"/>
        <v>0</v>
      </c>
      <c r="V144" s="1455"/>
      <c r="W144" s="1454"/>
      <c r="X144" s="1456"/>
    </row>
    <row r="145" spans="1:24" ht="11.25" customHeight="1" x14ac:dyDescent="0.25">
      <c r="A145" s="1028">
        <f>'Org structure'!E138</f>
        <v>0</v>
      </c>
      <c r="B145" s="171"/>
      <c r="C145" s="1454"/>
      <c r="D145" s="1454"/>
      <c r="E145" s="1455"/>
      <c r="F145" s="2104"/>
      <c r="G145" s="1454"/>
      <c r="H145" s="2103"/>
      <c r="I145" s="1455"/>
      <c r="J145" s="1894">
        <f t="shared" si="77"/>
        <v>0</v>
      </c>
      <c r="K145" s="815">
        <f t="shared" si="78"/>
        <v>0</v>
      </c>
      <c r="L145" s="1895">
        <f t="shared" si="79"/>
        <v>0</v>
      </c>
      <c r="M145" s="198"/>
      <c r="N145" s="2104"/>
      <c r="O145" s="1454"/>
      <c r="P145" s="2103"/>
      <c r="Q145" s="851">
        <f t="shared" si="80"/>
        <v>0</v>
      </c>
      <c r="R145" s="2104"/>
      <c r="S145" s="1454"/>
      <c r="T145" s="1455"/>
      <c r="U145" s="1887">
        <f t="shared" si="74"/>
        <v>0</v>
      </c>
      <c r="V145" s="1455"/>
      <c r="W145" s="1454"/>
      <c r="X145" s="1456"/>
    </row>
    <row r="146" spans="1:24" ht="11.25" customHeight="1" x14ac:dyDescent="0.25">
      <c r="A146" s="1028">
        <f>'Org structure'!E139</f>
        <v>0</v>
      </c>
      <c r="B146" s="171"/>
      <c r="C146" s="1454"/>
      <c r="D146" s="1454"/>
      <c r="E146" s="1455"/>
      <c r="F146" s="2104"/>
      <c r="G146" s="1454"/>
      <c r="H146" s="2103"/>
      <c r="I146" s="1455"/>
      <c r="J146" s="1894">
        <f t="shared" si="77"/>
        <v>0</v>
      </c>
      <c r="K146" s="815">
        <f t="shared" si="78"/>
        <v>0</v>
      </c>
      <c r="L146" s="1895">
        <f t="shared" si="79"/>
        <v>0</v>
      </c>
      <c r="M146" s="198"/>
      <c r="N146" s="2104"/>
      <c r="O146" s="1454"/>
      <c r="P146" s="2103"/>
      <c r="Q146" s="851">
        <f t="shared" si="80"/>
        <v>0</v>
      </c>
      <c r="R146" s="2104"/>
      <c r="S146" s="1454"/>
      <c r="T146" s="1455"/>
      <c r="U146" s="1887">
        <f t="shared" si="74"/>
        <v>0</v>
      </c>
      <c r="V146" s="1455"/>
      <c r="W146" s="1454"/>
      <c r="X146" s="1456"/>
    </row>
    <row r="147" spans="1:24" ht="11.25" customHeight="1" x14ac:dyDescent="0.25">
      <c r="A147" s="1028">
        <f>'Org structure'!E140</f>
        <v>0</v>
      </c>
      <c r="B147" s="171"/>
      <c r="C147" s="1454"/>
      <c r="D147" s="1454"/>
      <c r="E147" s="1455"/>
      <c r="F147" s="2104"/>
      <c r="G147" s="1454"/>
      <c r="H147" s="2103"/>
      <c r="I147" s="1455"/>
      <c r="J147" s="1894">
        <f t="shared" si="77"/>
        <v>0</v>
      </c>
      <c r="K147" s="815">
        <f t="shared" si="78"/>
        <v>0</v>
      </c>
      <c r="L147" s="1895">
        <f t="shared" si="79"/>
        <v>0</v>
      </c>
      <c r="M147" s="198"/>
      <c r="N147" s="2104"/>
      <c r="O147" s="1454"/>
      <c r="P147" s="2103"/>
      <c r="Q147" s="851">
        <f t="shared" si="80"/>
        <v>0</v>
      </c>
      <c r="R147" s="2104"/>
      <c r="S147" s="1454"/>
      <c r="T147" s="1455"/>
      <c r="U147" s="1887">
        <f t="shared" si="74"/>
        <v>0</v>
      </c>
      <c r="V147" s="1455"/>
      <c r="W147" s="1454"/>
      <c r="X147" s="1456"/>
    </row>
    <row r="148" spans="1:24" ht="11.25" customHeight="1" x14ac:dyDescent="0.25">
      <c r="A148" s="1028">
        <f>'Org structure'!E141</f>
        <v>0</v>
      </c>
      <c r="B148" s="171"/>
      <c r="C148" s="1454"/>
      <c r="D148" s="1454"/>
      <c r="E148" s="1455"/>
      <c r="F148" s="2104"/>
      <c r="G148" s="1454"/>
      <c r="H148" s="2103"/>
      <c r="I148" s="1455"/>
      <c r="J148" s="1894">
        <f t="shared" si="77"/>
        <v>0</v>
      </c>
      <c r="K148" s="815">
        <f t="shared" si="78"/>
        <v>0</v>
      </c>
      <c r="L148" s="1895">
        <f t="shared" si="79"/>
        <v>0</v>
      </c>
      <c r="M148" s="198"/>
      <c r="N148" s="2104"/>
      <c r="O148" s="1454"/>
      <c r="P148" s="2103"/>
      <c r="Q148" s="851">
        <f t="shared" si="80"/>
        <v>0</v>
      </c>
      <c r="R148" s="2104"/>
      <c r="S148" s="1454"/>
      <c r="T148" s="1455"/>
      <c r="U148" s="1887">
        <f t="shared" si="74"/>
        <v>0</v>
      </c>
      <c r="V148" s="1455"/>
      <c r="W148" s="1454"/>
      <c r="X148" s="1456"/>
    </row>
    <row r="149" spans="1:24" ht="15" customHeight="1" x14ac:dyDescent="0.25">
      <c r="A149" s="1027" t="str">
        <f>'Org structure'!A15</f>
        <v>Vote 14 - [NAME OF VOTE 14]</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4">
        <f t="shared" si="81"/>
        <v>0</v>
      </c>
      <c r="K149" s="815">
        <f t="shared" si="81"/>
        <v>0</v>
      </c>
      <c r="L149" s="1895">
        <f t="shared" si="81"/>
        <v>0</v>
      </c>
      <c r="M149" s="198"/>
      <c r="N149" s="851">
        <f t="shared" ref="N149:X149" si="82">SUM(N150:N159)</f>
        <v>0</v>
      </c>
      <c r="O149" s="849">
        <f t="shared" si="82"/>
        <v>0</v>
      </c>
      <c r="P149" s="850">
        <f t="shared" si="82"/>
        <v>0</v>
      </c>
      <c r="Q149" s="851">
        <f t="shared" si="82"/>
        <v>0</v>
      </c>
      <c r="R149" s="851">
        <f t="shared" si="82"/>
        <v>0</v>
      </c>
      <c r="S149" s="849">
        <f t="shared" si="82"/>
        <v>0</v>
      </c>
      <c r="T149" s="1891">
        <f t="shared" si="82"/>
        <v>0</v>
      </c>
      <c r="U149" s="1887">
        <f t="shared" si="82"/>
        <v>0</v>
      </c>
      <c r="V149" s="1892">
        <f t="shared" si="82"/>
        <v>0</v>
      </c>
      <c r="W149" s="849">
        <f t="shared" si="82"/>
        <v>0</v>
      </c>
      <c r="X149" s="1893">
        <f t="shared" si="82"/>
        <v>0</v>
      </c>
    </row>
    <row r="150" spans="1:24" ht="11.25" customHeight="1" x14ac:dyDescent="0.25">
      <c r="A150" s="1028" t="str">
        <f>'Org structure'!E143</f>
        <v>14.1 - [Name of sub-vote]</v>
      </c>
      <c r="B150" s="171"/>
      <c r="C150" s="1454"/>
      <c r="D150" s="1454"/>
      <c r="E150" s="1455"/>
      <c r="F150" s="2104"/>
      <c r="G150" s="1454"/>
      <c r="H150" s="2103"/>
      <c r="I150" s="1455"/>
      <c r="J150" s="1894">
        <f t="shared" ref="J150:J159" si="83">Q150+V150</f>
        <v>0</v>
      </c>
      <c r="K150" s="815">
        <f t="shared" ref="K150:K159" si="84">U150+W150</f>
        <v>0</v>
      </c>
      <c r="L150" s="1895">
        <f t="shared" ref="L150:L159" si="85">X150</f>
        <v>0</v>
      </c>
      <c r="M150" s="198"/>
      <c r="N150" s="2104"/>
      <c r="O150" s="1454"/>
      <c r="P150" s="2103"/>
      <c r="Q150" s="851">
        <f t="shared" ref="Q150:Q159" si="86">SUM(N150:P150)</f>
        <v>0</v>
      </c>
      <c r="R150" s="2104"/>
      <c r="S150" s="1454"/>
      <c r="T150" s="1455"/>
      <c r="U150" s="1887">
        <f t="shared" si="74"/>
        <v>0</v>
      </c>
      <c r="V150" s="1455"/>
      <c r="W150" s="1454"/>
      <c r="X150" s="1456"/>
    </row>
    <row r="151" spans="1:24" ht="11.25" customHeight="1" x14ac:dyDescent="0.25">
      <c r="A151" s="1028">
        <f>'Org structure'!E144</f>
        <v>0</v>
      </c>
      <c r="B151" s="171"/>
      <c r="C151" s="1454"/>
      <c r="D151" s="1454"/>
      <c r="E151" s="1455"/>
      <c r="F151" s="2104"/>
      <c r="G151" s="1454"/>
      <c r="H151" s="2103"/>
      <c r="I151" s="1455"/>
      <c r="J151" s="1894">
        <f t="shared" si="83"/>
        <v>0</v>
      </c>
      <c r="K151" s="815">
        <f t="shared" si="84"/>
        <v>0</v>
      </c>
      <c r="L151" s="1895">
        <f t="shared" si="85"/>
        <v>0</v>
      </c>
      <c r="M151" s="198"/>
      <c r="N151" s="2104"/>
      <c r="O151" s="1454"/>
      <c r="P151" s="2103"/>
      <c r="Q151" s="851">
        <f t="shared" si="86"/>
        <v>0</v>
      </c>
      <c r="R151" s="2104"/>
      <c r="S151" s="1454"/>
      <c r="T151" s="1455"/>
      <c r="U151" s="1887">
        <f t="shared" si="74"/>
        <v>0</v>
      </c>
      <c r="V151" s="1455"/>
      <c r="W151" s="1454"/>
      <c r="X151" s="1456"/>
    </row>
    <row r="152" spans="1:24" ht="11.25" customHeight="1" x14ac:dyDescent="0.25">
      <c r="A152" s="1028">
        <f>'Org structure'!E145</f>
        <v>0</v>
      </c>
      <c r="B152" s="171"/>
      <c r="C152" s="1454"/>
      <c r="D152" s="1454"/>
      <c r="E152" s="1455"/>
      <c r="F152" s="2104"/>
      <c r="G152" s="1454"/>
      <c r="H152" s="2103"/>
      <c r="I152" s="1455"/>
      <c r="J152" s="1894">
        <f t="shared" si="83"/>
        <v>0</v>
      </c>
      <c r="K152" s="815">
        <f t="shared" si="84"/>
        <v>0</v>
      </c>
      <c r="L152" s="1895">
        <f t="shared" si="85"/>
        <v>0</v>
      </c>
      <c r="M152" s="198"/>
      <c r="N152" s="2104"/>
      <c r="O152" s="1454"/>
      <c r="P152" s="2103"/>
      <c r="Q152" s="851">
        <f t="shared" si="86"/>
        <v>0</v>
      </c>
      <c r="R152" s="2104"/>
      <c r="S152" s="1454"/>
      <c r="T152" s="1455"/>
      <c r="U152" s="1887">
        <f t="shared" si="74"/>
        <v>0</v>
      </c>
      <c r="V152" s="1455"/>
      <c r="W152" s="1454"/>
      <c r="X152" s="1456"/>
    </row>
    <row r="153" spans="1:24" ht="11.25" customHeight="1" x14ac:dyDescent="0.25">
      <c r="A153" s="1028">
        <f>'Org structure'!E146</f>
        <v>0</v>
      </c>
      <c r="B153" s="171"/>
      <c r="C153" s="1454"/>
      <c r="D153" s="1454"/>
      <c r="E153" s="1455"/>
      <c r="F153" s="2104"/>
      <c r="G153" s="1454"/>
      <c r="H153" s="2103"/>
      <c r="I153" s="1455"/>
      <c r="J153" s="1894">
        <f t="shared" si="83"/>
        <v>0</v>
      </c>
      <c r="K153" s="815">
        <f t="shared" si="84"/>
        <v>0</v>
      </c>
      <c r="L153" s="1895">
        <f t="shared" si="85"/>
        <v>0</v>
      </c>
      <c r="M153" s="198"/>
      <c r="N153" s="2104"/>
      <c r="O153" s="1454"/>
      <c r="P153" s="2103"/>
      <c r="Q153" s="851">
        <f t="shared" si="86"/>
        <v>0</v>
      </c>
      <c r="R153" s="2104"/>
      <c r="S153" s="1454"/>
      <c r="T153" s="1455"/>
      <c r="U153" s="1887">
        <f t="shared" si="74"/>
        <v>0</v>
      </c>
      <c r="V153" s="1455"/>
      <c r="W153" s="1454"/>
      <c r="X153" s="1456"/>
    </row>
    <row r="154" spans="1:24" ht="11.25" customHeight="1" x14ac:dyDescent="0.25">
      <c r="A154" s="1028">
        <f>'Org structure'!E147</f>
        <v>0</v>
      </c>
      <c r="B154" s="171"/>
      <c r="C154" s="1454"/>
      <c r="D154" s="1454"/>
      <c r="E154" s="1455"/>
      <c r="F154" s="2104"/>
      <c r="G154" s="1454"/>
      <c r="H154" s="2103"/>
      <c r="I154" s="1455"/>
      <c r="J154" s="1894">
        <f t="shared" si="83"/>
        <v>0</v>
      </c>
      <c r="K154" s="815">
        <f t="shared" si="84"/>
        <v>0</v>
      </c>
      <c r="L154" s="1895">
        <f t="shared" si="85"/>
        <v>0</v>
      </c>
      <c r="M154" s="198"/>
      <c r="N154" s="2104"/>
      <c r="O154" s="1454"/>
      <c r="P154" s="2103"/>
      <c r="Q154" s="851">
        <f t="shared" si="86"/>
        <v>0</v>
      </c>
      <c r="R154" s="2104"/>
      <c r="S154" s="1454"/>
      <c r="T154" s="1455"/>
      <c r="U154" s="1887">
        <f t="shared" si="74"/>
        <v>0</v>
      </c>
      <c r="V154" s="1455"/>
      <c r="W154" s="1454"/>
      <c r="X154" s="1456"/>
    </row>
    <row r="155" spans="1:24" ht="11.25" customHeight="1" x14ac:dyDescent="0.25">
      <c r="A155" s="1028">
        <f>'Org structure'!E148</f>
        <v>0</v>
      </c>
      <c r="B155" s="171"/>
      <c r="C155" s="1454"/>
      <c r="D155" s="1454"/>
      <c r="E155" s="1455"/>
      <c r="F155" s="2104"/>
      <c r="G155" s="1454"/>
      <c r="H155" s="2103"/>
      <c r="I155" s="1455"/>
      <c r="J155" s="1894">
        <f t="shared" si="83"/>
        <v>0</v>
      </c>
      <c r="K155" s="815">
        <f t="shared" si="84"/>
        <v>0</v>
      </c>
      <c r="L155" s="1895">
        <f t="shared" si="85"/>
        <v>0</v>
      </c>
      <c r="M155" s="198"/>
      <c r="N155" s="2104"/>
      <c r="O155" s="1454"/>
      <c r="P155" s="2103"/>
      <c r="Q155" s="851">
        <f t="shared" si="86"/>
        <v>0</v>
      </c>
      <c r="R155" s="2104"/>
      <c r="S155" s="1454"/>
      <c r="T155" s="1455"/>
      <c r="U155" s="1887">
        <f t="shared" si="74"/>
        <v>0</v>
      </c>
      <c r="V155" s="1455"/>
      <c r="W155" s="1454"/>
      <c r="X155" s="1456"/>
    </row>
    <row r="156" spans="1:24" ht="11.25" customHeight="1" x14ac:dyDescent="0.25">
      <c r="A156" s="1028">
        <f>'Org structure'!E149</f>
        <v>0</v>
      </c>
      <c r="B156" s="171"/>
      <c r="C156" s="1454"/>
      <c r="D156" s="1454"/>
      <c r="E156" s="1455"/>
      <c r="F156" s="2104"/>
      <c r="G156" s="1454"/>
      <c r="H156" s="2103"/>
      <c r="I156" s="1455"/>
      <c r="J156" s="1894">
        <f t="shared" si="83"/>
        <v>0</v>
      </c>
      <c r="K156" s="815">
        <f t="shared" si="84"/>
        <v>0</v>
      </c>
      <c r="L156" s="1895">
        <f t="shared" si="85"/>
        <v>0</v>
      </c>
      <c r="M156" s="198"/>
      <c r="N156" s="2104"/>
      <c r="O156" s="1454"/>
      <c r="P156" s="2103"/>
      <c r="Q156" s="851">
        <f t="shared" si="86"/>
        <v>0</v>
      </c>
      <c r="R156" s="2104"/>
      <c r="S156" s="1454"/>
      <c r="T156" s="1455"/>
      <c r="U156" s="1887">
        <f t="shared" si="74"/>
        <v>0</v>
      </c>
      <c r="V156" s="1455"/>
      <c r="W156" s="1454"/>
      <c r="X156" s="1456"/>
    </row>
    <row r="157" spans="1:24" ht="11.25" customHeight="1" x14ac:dyDescent="0.25">
      <c r="A157" s="1028">
        <f>'Org structure'!E150</f>
        <v>0</v>
      </c>
      <c r="B157" s="171"/>
      <c r="C157" s="1454"/>
      <c r="D157" s="1454"/>
      <c r="E157" s="1455"/>
      <c r="F157" s="2104"/>
      <c r="G157" s="1454"/>
      <c r="H157" s="2103"/>
      <c r="I157" s="1455"/>
      <c r="J157" s="1894">
        <f t="shared" si="83"/>
        <v>0</v>
      </c>
      <c r="K157" s="815">
        <f t="shared" si="84"/>
        <v>0</v>
      </c>
      <c r="L157" s="1895">
        <f t="shared" si="85"/>
        <v>0</v>
      </c>
      <c r="M157" s="198"/>
      <c r="N157" s="2104"/>
      <c r="O157" s="1454"/>
      <c r="P157" s="2103"/>
      <c r="Q157" s="851">
        <f t="shared" si="86"/>
        <v>0</v>
      </c>
      <c r="R157" s="2104"/>
      <c r="S157" s="1454"/>
      <c r="T157" s="1455"/>
      <c r="U157" s="1887">
        <f t="shared" si="74"/>
        <v>0</v>
      </c>
      <c r="V157" s="1455"/>
      <c r="W157" s="1454"/>
      <c r="X157" s="1456"/>
    </row>
    <row r="158" spans="1:24" ht="11.25" customHeight="1" x14ac:dyDescent="0.25">
      <c r="A158" s="1028">
        <f>'Org structure'!E151</f>
        <v>0</v>
      </c>
      <c r="B158" s="171"/>
      <c r="C158" s="1454"/>
      <c r="D158" s="1454"/>
      <c r="E158" s="1455"/>
      <c r="F158" s="2104"/>
      <c r="G158" s="1454"/>
      <c r="H158" s="2103"/>
      <c r="I158" s="1455"/>
      <c r="J158" s="1894">
        <f t="shared" si="83"/>
        <v>0</v>
      </c>
      <c r="K158" s="815">
        <f t="shared" si="84"/>
        <v>0</v>
      </c>
      <c r="L158" s="1895">
        <f t="shared" si="85"/>
        <v>0</v>
      </c>
      <c r="M158" s="198"/>
      <c r="N158" s="2104"/>
      <c r="O158" s="1454"/>
      <c r="P158" s="2103"/>
      <c r="Q158" s="851">
        <f t="shared" si="86"/>
        <v>0</v>
      </c>
      <c r="R158" s="2104"/>
      <c r="S158" s="1454"/>
      <c r="T158" s="1455"/>
      <c r="U158" s="1887">
        <f t="shared" si="74"/>
        <v>0</v>
      </c>
      <c r="V158" s="1455"/>
      <c r="W158" s="1454"/>
      <c r="X158" s="1456"/>
    </row>
    <row r="159" spans="1:24" ht="11.25" customHeight="1" x14ac:dyDescent="0.25">
      <c r="A159" s="1028">
        <f>'Org structure'!E152</f>
        <v>0</v>
      </c>
      <c r="B159" s="171"/>
      <c r="C159" s="1454"/>
      <c r="D159" s="1454"/>
      <c r="E159" s="1455"/>
      <c r="F159" s="2104"/>
      <c r="G159" s="1454"/>
      <c r="H159" s="2103"/>
      <c r="I159" s="1455"/>
      <c r="J159" s="1894">
        <f t="shared" si="83"/>
        <v>0</v>
      </c>
      <c r="K159" s="815">
        <f t="shared" si="84"/>
        <v>0</v>
      </c>
      <c r="L159" s="1895">
        <f t="shared" si="85"/>
        <v>0</v>
      </c>
      <c r="M159" s="198"/>
      <c r="N159" s="2104"/>
      <c r="O159" s="1454"/>
      <c r="P159" s="2103"/>
      <c r="Q159" s="851">
        <f t="shared" si="86"/>
        <v>0</v>
      </c>
      <c r="R159" s="2104"/>
      <c r="S159" s="1454"/>
      <c r="T159" s="1455"/>
      <c r="U159" s="1887">
        <f t="shared" si="74"/>
        <v>0</v>
      </c>
      <c r="V159" s="1455"/>
      <c r="W159" s="1454"/>
      <c r="X159" s="1456"/>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4">
        <f t="shared" si="87"/>
        <v>0</v>
      </c>
      <c r="K160" s="815">
        <f t="shared" si="87"/>
        <v>0</v>
      </c>
      <c r="L160" s="1895">
        <f t="shared" si="87"/>
        <v>0</v>
      </c>
      <c r="M160" s="198"/>
      <c r="N160" s="851">
        <f t="shared" ref="N160:X160" si="88">SUM(N161:N170)</f>
        <v>0</v>
      </c>
      <c r="O160" s="849">
        <f t="shared" si="88"/>
        <v>0</v>
      </c>
      <c r="P160" s="850">
        <f t="shared" si="88"/>
        <v>0</v>
      </c>
      <c r="Q160" s="851">
        <f t="shared" si="88"/>
        <v>0</v>
      </c>
      <c r="R160" s="851">
        <f t="shared" si="88"/>
        <v>0</v>
      </c>
      <c r="S160" s="849">
        <f t="shared" si="88"/>
        <v>0</v>
      </c>
      <c r="T160" s="1891">
        <f t="shared" si="88"/>
        <v>0</v>
      </c>
      <c r="U160" s="1887">
        <f t="shared" si="88"/>
        <v>0</v>
      </c>
      <c r="V160" s="1892">
        <f t="shared" si="88"/>
        <v>0</v>
      </c>
      <c r="W160" s="849">
        <f t="shared" si="88"/>
        <v>0</v>
      </c>
      <c r="X160" s="1893">
        <f t="shared" si="88"/>
        <v>0</v>
      </c>
    </row>
    <row r="161" spans="1:24" ht="11.25" customHeight="1" x14ac:dyDescent="0.25">
      <c r="A161" s="1028" t="str">
        <f>'Org structure'!E154</f>
        <v>15.1 - [Name of sub-vote]</v>
      </c>
      <c r="B161" s="171"/>
      <c r="C161" s="1454"/>
      <c r="D161" s="1454"/>
      <c r="E161" s="1455"/>
      <c r="F161" s="2104"/>
      <c r="G161" s="1454"/>
      <c r="H161" s="2103"/>
      <c r="I161" s="1455"/>
      <c r="J161" s="1894">
        <f t="shared" ref="J161:J170" si="89">Q161+V161</f>
        <v>0</v>
      </c>
      <c r="K161" s="815">
        <f t="shared" ref="K161:K170" si="90">U161+W161</f>
        <v>0</v>
      </c>
      <c r="L161" s="1895">
        <f t="shared" ref="L161:L170" si="91">X161</f>
        <v>0</v>
      </c>
      <c r="M161" s="198"/>
      <c r="N161" s="2104"/>
      <c r="O161" s="1454"/>
      <c r="P161" s="2103"/>
      <c r="Q161" s="851">
        <f t="shared" ref="Q161:Q170" si="92">SUM(N161:P161)</f>
        <v>0</v>
      </c>
      <c r="R161" s="2104"/>
      <c r="S161" s="1454"/>
      <c r="T161" s="1455"/>
      <c r="U161" s="1887">
        <f t="shared" si="74"/>
        <v>0</v>
      </c>
      <c r="V161" s="1455"/>
      <c r="W161" s="1454"/>
      <c r="X161" s="1456"/>
    </row>
    <row r="162" spans="1:24" ht="11.25" customHeight="1" x14ac:dyDescent="0.25">
      <c r="A162" s="1028">
        <f>'Org structure'!E155</f>
        <v>0</v>
      </c>
      <c r="B162" s="171"/>
      <c r="C162" s="1454"/>
      <c r="D162" s="1454"/>
      <c r="E162" s="1455"/>
      <c r="F162" s="2104"/>
      <c r="G162" s="1454"/>
      <c r="H162" s="2103"/>
      <c r="I162" s="1455"/>
      <c r="J162" s="1894">
        <f t="shared" si="89"/>
        <v>0</v>
      </c>
      <c r="K162" s="815">
        <f t="shared" si="90"/>
        <v>0</v>
      </c>
      <c r="L162" s="1895">
        <f t="shared" si="91"/>
        <v>0</v>
      </c>
      <c r="M162" s="198"/>
      <c r="N162" s="2104"/>
      <c r="O162" s="1454"/>
      <c r="P162" s="2103"/>
      <c r="Q162" s="851">
        <f t="shared" si="92"/>
        <v>0</v>
      </c>
      <c r="R162" s="2104"/>
      <c r="S162" s="1454"/>
      <c r="T162" s="1455"/>
      <c r="U162" s="1887">
        <f t="shared" si="74"/>
        <v>0</v>
      </c>
      <c r="V162" s="1455"/>
      <c r="W162" s="1454"/>
      <c r="X162" s="1456"/>
    </row>
    <row r="163" spans="1:24" ht="11.25" customHeight="1" x14ac:dyDescent="0.25">
      <c r="A163" s="1028">
        <f>'Org structure'!E156</f>
        <v>0</v>
      </c>
      <c r="B163" s="171"/>
      <c r="C163" s="1454"/>
      <c r="D163" s="1454"/>
      <c r="E163" s="1455"/>
      <c r="F163" s="2104"/>
      <c r="G163" s="1454"/>
      <c r="H163" s="2103"/>
      <c r="I163" s="1455"/>
      <c r="J163" s="1894">
        <f t="shared" si="89"/>
        <v>0</v>
      </c>
      <c r="K163" s="815">
        <f t="shared" si="90"/>
        <v>0</v>
      </c>
      <c r="L163" s="1895">
        <f t="shared" si="91"/>
        <v>0</v>
      </c>
      <c r="M163" s="198"/>
      <c r="N163" s="2104"/>
      <c r="O163" s="1454"/>
      <c r="P163" s="2103"/>
      <c r="Q163" s="851">
        <f t="shared" si="92"/>
        <v>0</v>
      </c>
      <c r="R163" s="2104"/>
      <c r="S163" s="1454"/>
      <c r="T163" s="1455"/>
      <c r="U163" s="1887">
        <f t="shared" si="74"/>
        <v>0</v>
      </c>
      <c r="V163" s="1455"/>
      <c r="W163" s="1454"/>
      <c r="X163" s="1456"/>
    </row>
    <row r="164" spans="1:24" ht="11.25" customHeight="1" x14ac:dyDescent="0.25">
      <c r="A164" s="1028">
        <f>'Org structure'!E157</f>
        <v>0</v>
      </c>
      <c r="B164" s="171"/>
      <c r="C164" s="1454"/>
      <c r="D164" s="1454"/>
      <c r="E164" s="1455"/>
      <c r="F164" s="2104"/>
      <c r="G164" s="1454"/>
      <c r="H164" s="2103"/>
      <c r="I164" s="1455"/>
      <c r="J164" s="1894">
        <f t="shared" si="89"/>
        <v>0</v>
      </c>
      <c r="K164" s="815">
        <f t="shared" si="90"/>
        <v>0</v>
      </c>
      <c r="L164" s="1895">
        <f t="shared" si="91"/>
        <v>0</v>
      </c>
      <c r="M164" s="198"/>
      <c r="N164" s="2104"/>
      <c r="O164" s="1454"/>
      <c r="P164" s="2103"/>
      <c r="Q164" s="851">
        <f t="shared" si="92"/>
        <v>0</v>
      </c>
      <c r="R164" s="2104"/>
      <c r="S164" s="1454"/>
      <c r="T164" s="1455"/>
      <c r="U164" s="1887">
        <f t="shared" si="74"/>
        <v>0</v>
      </c>
      <c r="V164" s="1455"/>
      <c r="W164" s="1454"/>
      <c r="X164" s="1456"/>
    </row>
    <row r="165" spans="1:24" ht="11.25" customHeight="1" x14ac:dyDescent="0.25">
      <c r="A165" s="1028">
        <f>'Org structure'!E158</f>
        <v>0</v>
      </c>
      <c r="B165" s="171"/>
      <c r="C165" s="1454"/>
      <c r="D165" s="1454"/>
      <c r="E165" s="1455"/>
      <c r="F165" s="2104"/>
      <c r="G165" s="1454"/>
      <c r="H165" s="2103"/>
      <c r="I165" s="1455"/>
      <c r="J165" s="1894">
        <f t="shared" si="89"/>
        <v>0</v>
      </c>
      <c r="K165" s="815">
        <f t="shared" si="90"/>
        <v>0</v>
      </c>
      <c r="L165" s="1895">
        <f t="shared" si="91"/>
        <v>0</v>
      </c>
      <c r="M165" s="198"/>
      <c r="N165" s="2104"/>
      <c r="O165" s="1454"/>
      <c r="P165" s="2103"/>
      <c r="Q165" s="851">
        <f t="shared" si="92"/>
        <v>0</v>
      </c>
      <c r="R165" s="2104"/>
      <c r="S165" s="1454"/>
      <c r="T165" s="1455"/>
      <c r="U165" s="1887">
        <f t="shared" si="74"/>
        <v>0</v>
      </c>
      <c r="V165" s="1455"/>
      <c r="W165" s="1454"/>
      <c r="X165" s="1456"/>
    </row>
    <row r="166" spans="1:24" ht="11.25" customHeight="1" x14ac:dyDescent="0.25">
      <c r="A166" s="1028">
        <f>'Org structure'!E159</f>
        <v>0</v>
      </c>
      <c r="B166" s="171"/>
      <c r="C166" s="1454"/>
      <c r="D166" s="1454"/>
      <c r="E166" s="1455"/>
      <c r="F166" s="2104"/>
      <c r="G166" s="1454"/>
      <c r="H166" s="2103"/>
      <c r="I166" s="1455"/>
      <c r="J166" s="1894">
        <f t="shared" si="89"/>
        <v>0</v>
      </c>
      <c r="K166" s="815">
        <f t="shared" si="90"/>
        <v>0</v>
      </c>
      <c r="L166" s="1895">
        <f t="shared" si="91"/>
        <v>0</v>
      </c>
      <c r="M166" s="198"/>
      <c r="N166" s="2104"/>
      <c r="O166" s="1454"/>
      <c r="P166" s="2103"/>
      <c r="Q166" s="851">
        <f t="shared" si="92"/>
        <v>0</v>
      </c>
      <c r="R166" s="2104"/>
      <c r="S166" s="1454"/>
      <c r="T166" s="1455"/>
      <c r="U166" s="1887">
        <f t="shared" si="74"/>
        <v>0</v>
      </c>
      <c r="V166" s="1455"/>
      <c r="W166" s="1454"/>
      <c r="X166" s="1456"/>
    </row>
    <row r="167" spans="1:24" ht="11.25" customHeight="1" x14ac:dyDescent="0.25">
      <c r="A167" s="1028">
        <f>'Org structure'!E160</f>
        <v>0</v>
      </c>
      <c r="B167" s="171"/>
      <c r="C167" s="1454"/>
      <c r="D167" s="1454"/>
      <c r="E167" s="1455"/>
      <c r="F167" s="2104"/>
      <c r="G167" s="1454"/>
      <c r="H167" s="2103"/>
      <c r="I167" s="1455"/>
      <c r="J167" s="1894">
        <f t="shared" si="89"/>
        <v>0</v>
      </c>
      <c r="K167" s="815">
        <f t="shared" si="90"/>
        <v>0</v>
      </c>
      <c r="L167" s="1895">
        <f t="shared" si="91"/>
        <v>0</v>
      </c>
      <c r="M167" s="198"/>
      <c r="N167" s="2104"/>
      <c r="O167" s="1454"/>
      <c r="P167" s="2103"/>
      <c r="Q167" s="851">
        <f t="shared" si="92"/>
        <v>0</v>
      </c>
      <c r="R167" s="2104"/>
      <c r="S167" s="1454"/>
      <c r="T167" s="1455"/>
      <c r="U167" s="1887">
        <f t="shared" si="74"/>
        <v>0</v>
      </c>
      <c r="V167" s="1455"/>
      <c r="W167" s="1454"/>
      <c r="X167" s="1456"/>
    </row>
    <row r="168" spans="1:24" ht="11.25" customHeight="1" x14ac:dyDescent="0.25">
      <c r="A168" s="1028">
        <f>'Org structure'!E161</f>
        <v>0</v>
      </c>
      <c r="B168" s="171"/>
      <c r="C168" s="1454"/>
      <c r="D168" s="1454"/>
      <c r="E168" s="1455"/>
      <c r="F168" s="2104"/>
      <c r="G168" s="1454"/>
      <c r="H168" s="2103"/>
      <c r="I168" s="1455"/>
      <c r="J168" s="1894">
        <f t="shared" si="89"/>
        <v>0</v>
      </c>
      <c r="K168" s="815">
        <f t="shared" si="90"/>
        <v>0</v>
      </c>
      <c r="L168" s="1895">
        <f t="shared" si="91"/>
        <v>0</v>
      </c>
      <c r="M168" s="198"/>
      <c r="N168" s="2104"/>
      <c r="O168" s="1454"/>
      <c r="P168" s="2103"/>
      <c r="Q168" s="851">
        <f t="shared" si="92"/>
        <v>0</v>
      </c>
      <c r="R168" s="2104"/>
      <c r="S168" s="1454"/>
      <c r="T168" s="1455"/>
      <c r="U168" s="1887">
        <f t="shared" si="74"/>
        <v>0</v>
      </c>
      <c r="V168" s="1455"/>
      <c r="W168" s="1454"/>
      <c r="X168" s="1456"/>
    </row>
    <row r="169" spans="1:24" ht="11.25" customHeight="1" x14ac:dyDescent="0.25">
      <c r="A169" s="1028">
        <f>'Org structure'!E162</f>
        <v>0</v>
      </c>
      <c r="B169" s="171"/>
      <c r="C169" s="1454"/>
      <c r="D169" s="1454"/>
      <c r="E169" s="1455"/>
      <c r="F169" s="2104"/>
      <c r="G169" s="1454"/>
      <c r="H169" s="2103"/>
      <c r="I169" s="1455"/>
      <c r="J169" s="1894">
        <f t="shared" si="89"/>
        <v>0</v>
      </c>
      <c r="K169" s="815">
        <f t="shared" si="90"/>
        <v>0</v>
      </c>
      <c r="L169" s="1895">
        <f t="shared" si="91"/>
        <v>0</v>
      </c>
      <c r="M169" s="198"/>
      <c r="N169" s="2104"/>
      <c r="O169" s="1454"/>
      <c r="P169" s="2103"/>
      <c r="Q169" s="851">
        <f t="shared" si="92"/>
        <v>0</v>
      </c>
      <c r="R169" s="2104"/>
      <c r="S169" s="1454"/>
      <c r="T169" s="1455"/>
      <c r="U169" s="1887">
        <f t="shared" si="74"/>
        <v>0</v>
      </c>
      <c r="V169" s="1455"/>
      <c r="W169" s="1454"/>
      <c r="X169" s="1456"/>
    </row>
    <row r="170" spans="1:24" ht="11.25" customHeight="1" x14ac:dyDescent="0.25">
      <c r="A170" s="1028">
        <f>'Org structure'!E163</f>
        <v>0</v>
      </c>
      <c r="B170" s="171"/>
      <c r="C170" s="1454"/>
      <c r="D170" s="1454"/>
      <c r="E170" s="1455"/>
      <c r="F170" s="2104"/>
      <c r="G170" s="1454"/>
      <c r="H170" s="2103"/>
      <c r="I170" s="1455"/>
      <c r="J170" s="1894">
        <f t="shared" si="89"/>
        <v>0</v>
      </c>
      <c r="K170" s="815">
        <f t="shared" si="90"/>
        <v>0</v>
      </c>
      <c r="L170" s="1895">
        <f t="shared" si="91"/>
        <v>0</v>
      </c>
      <c r="M170" s="198"/>
      <c r="N170" s="2104"/>
      <c r="O170" s="1454"/>
      <c r="P170" s="2103"/>
      <c r="Q170" s="851">
        <f t="shared" si="92"/>
        <v>0</v>
      </c>
      <c r="R170" s="2104"/>
      <c r="S170" s="1454"/>
      <c r="T170" s="1455"/>
      <c r="U170" s="1887">
        <f t="shared" si="74"/>
        <v>0</v>
      </c>
      <c r="V170" s="1455"/>
      <c r="W170" s="1454"/>
      <c r="X170" s="1456"/>
    </row>
    <row r="171" spans="1:24" x14ac:dyDescent="0.25">
      <c r="A171" s="75" t="s">
        <v>195</v>
      </c>
      <c r="B171" s="171"/>
      <c r="C171" s="76">
        <f>C6+C17+C28+C39+C50+C61+C72+C83+C94+C105+C116+C127+C138+C149+C160</f>
        <v>0</v>
      </c>
      <c r="D171" s="76">
        <f t="shared" ref="D171:L171" si="93">D6+D17+D28+D39+D50+D61+D72+D83+D94+D105+D116+D127+D138+D149+D160</f>
        <v>0</v>
      </c>
      <c r="E171" s="1418">
        <f t="shared" si="93"/>
        <v>0</v>
      </c>
      <c r="F171" s="1417">
        <f t="shared" si="93"/>
        <v>0</v>
      </c>
      <c r="G171" s="76">
        <f t="shared" si="93"/>
        <v>0</v>
      </c>
      <c r="H171" s="1418">
        <f t="shared" si="93"/>
        <v>0</v>
      </c>
      <c r="I171" s="1890">
        <f t="shared" si="93"/>
        <v>0</v>
      </c>
      <c r="J171" s="1896">
        <f t="shared" si="93"/>
        <v>0</v>
      </c>
      <c r="K171" s="1205">
        <f t="shared" si="93"/>
        <v>0</v>
      </c>
      <c r="L171" s="1897">
        <f t="shared" si="93"/>
        <v>0</v>
      </c>
      <c r="M171" s="247"/>
      <c r="N171" s="1888">
        <f t="shared" ref="N171:U171" si="94">N6+N17+N28+N39+N50+N61+N72+N83+N94+N105+N116+N127+N138+N149+N160</f>
        <v>0</v>
      </c>
      <c r="O171" s="76">
        <f t="shared" si="94"/>
        <v>0</v>
      </c>
      <c r="P171" s="1418">
        <f t="shared" si="94"/>
        <v>0</v>
      </c>
      <c r="Q171" s="1900">
        <f t="shared" si="94"/>
        <v>0</v>
      </c>
      <c r="R171" s="1888">
        <f t="shared" si="94"/>
        <v>0</v>
      </c>
      <c r="S171" s="76">
        <f t="shared" si="94"/>
        <v>0</v>
      </c>
      <c r="T171" s="1889"/>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4"/>
      <c r="V172" s="313"/>
      <c r="W172" s="310"/>
      <c r="X172" s="311"/>
    </row>
    <row r="173" spans="1:24" ht="11.25" customHeight="1" x14ac:dyDescent="0.25">
      <c r="A173" s="59" t="s">
        <v>1715</v>
      </c>
      <c r="B173" s="169"/>
      <c r="C173" s="189"/>
      <c r="D173" s="189"/>
      <c r="E173" s="190"/>
      <c r="F173" s="191"/>
      <c r="G173" s="189"/>
      <c r="H173" s="192"/>
      <c r="I173" s="190"/>
      <c r="J173" s="191"/>
      <c r="K173" s="189"/>
      <c r="L173" s="192"/>
      <c r="M173" s="247"/>
    </row>
    <row r="174" spans="1:24" ht="11.25" customHeight="1" x14ac:dyDescent="0.25">
      <c r="A174" s="59" t="s">
        <v>985</v>
      </c>
      <c r="B174" s="171">
        <v>2</v>
      </c>
      <c r="C174" s="193"/>
      <c r="D174" s="193"/>
      <c r="E174" s="194"/>
      <c r="F174" s="195"/>
      <c r="G174" s="193"/>
      <c r="H174" s="196"/>
      <c r="I174" s="194"/>
      <c r="J174" s="195"/>
      <c r="K174" s="193"/>
      <c r="L174" s="196"/>
      <c r="M174" s="1406"/>
    </row>
    <row r="175" spans="1:24" ht="15" customHeight="1" x14ac:dyDescent="0.25">
      <c r="A175" s="1027" t="str">
        <f>A6</f>
        <v>Vote 1 - EXECUTIVE AND COUNCIL</v>
      </c>
      <c r="B175" s="854"/>
      <c r="C175" s="849">
        <f t="shared" ref="C175:L175" si="95">SUM(C176:C185)</f>
        <v>800000</v>
      </c>
      <c r="D175" s="849">
        <f t="shared" si="95"/>
        <v>0</v>
      </c>
      <c r="E175" s="850">
        <f t="shared" si="95"/>
        <v>0</v>
      </c>
      <c r="F175" s="851">
        <f t="shared" si="95"/>
        <v>0</v>
      </c>
      <c r="G175" s="849">
        <f t="shared" si="95"/>
        <v>0</v>
      </c>
      <c r="H175" s="850">
        <f t="shared" si="95"/>
        <v>0</v>
      </c>
      <c r="I175" s="816">
        <f t="shared" si="95"/>
        <v>0</v>
      </c>
      <c r="J175" s="851">
        <f t="shared" si="95"/>
        <v>800000</v>
      </c>
      <c r="K175" s="849">
        <f t="shared" si="95"/>
        <v>0</v>
      </c>
      <c r="L175" s="850">
        <f t="shared" si="95"/>
        <v>0</v>
      </c>
      <c r="M175" s="1406"/>
      <c r="V175" s="816">
        <v>0</v>
      </c>
      <c r="W175" s="816">
        <v>0</v>
      </c>
      <c r="X175" s="816">
        <v>0</v>
      </c>
    </row>
    <row r="176" spans="1:24" ht="11.25" customHeight="1" x14ac:dyDescent="0.25">
      <c r="A176" s="1027" t="str">
        <f t="shared" ref="A176:A239" si="96">A7</f>
        <v>1.1 - COUNCIL GENERAL</v>
      </c>
      <c r="B176" s="171"/>
      <c r="C176" s="1454">
        <v>800000</v>
      </c>
      <c r="D176" s="1454"/>
      <c r="E176" s="2106"/>
      <c r="F176" s="2104"/>
      <c r="G176" s="1454"/>
      <c r="H176" s="2103"/>
      <c r="I176" s="1455"/>
      <c r="J176" s="2104">
        <v>800000</v>
      </c>
      <c r="K176" s="1454"/>
      <c r="L176" s="2103"/>
      <c r="M176" s="1406"/>
    </row>
    <row r="177" spans="1:25" ht="11.25" customHeight="1" x14ac:dyDescent="0.25">
      <c r="A177" s="1027">
        <f t="shared" si="96"/>
        <v>0</v>
      </c>
      <c r="B177" s="171"/>
      <c r="C177" s="1454"/>
      <c r="D177" s="1454"/>
      <c r="E177" s="2103"/>
      <c r="F177" s="2104"/>
      <c r="G177" s="1454"/>
      <c r="H177" s="2103"/>
      <c r="I177" s="1455"/>
      <c r="J177" s="2104"/>
      <c r="K177" s="1454"/>
      <c r="L177" s="2103"/>
      <c r="M177" s="1406"/>
    </row>
    <row r="178" spans="1:25" ht="11.25" customHeight="1" x14ac:dyDescent="0.25">
      <c r="A178" s="1027">
        <f t="shared" si="96"/>
        <v>0</v>
      </c>
      <c r="B178" s="171"/>
      <c r="C178" s="1454"/>
      <c r="D178" s="1454"/>
      <c r="E178" s="2103"/>
      <c r="F178" s="2104"/>
      <c r="G178" s="1454"/>
      <c r="H178" s="2103"/>
      <c r="I178" s="1455"/>
      <c r="J178" s="2104"/>
      <c r="K178" s="1454"/>
      <c r="L178" s="2103"/>
      <c r="M178" s="1406"/>
    </row>
    <row r="179" spans="1:25" ht="11.25" customHeight="1" x14ac:dyDescent="0.25">
      <c r="A179" s="1027">
        <f t="shared" si="96"/>
        <v>0</v>
      </c>
      <c r="B179" s="171"/>
      <c r="C179" s="1454"/>
      <c r="D179" s="1454"/>
      <c r="E179" s="2103"/>
      <c r="F179" s="2104"/>
      <c r="G179" s="1454"/>
      <c r="H179" s="2103"/>
      <c r="I179" s="1455"/>
      <c r="J179" s="2104"/>
      <c r="K179" s="1454"/>
      <c r="L179" s="2103"/>
      <c r="M179" s="1406"/>
    </row>
    <row r="180" spans="1:25" ht="11.25" customHeight="1" x14ac:dyDescent="0.25">
      <c r="A180" s="1027">
        <f t="shared" si="96"/>
        <v>0</v>
      </c>
      <c r="B180" s="171"/>
      <c r="C180" s="1454"/>
      <c r="D180" s="1454"/>
      <c r="E180" s="2103"/>
      <c r="F180" s="2104"/>
      <c r="G180" s="1454"/>
      <c r="H180" s="2103"/>
      <c r="I180" s="1455"/>
      <c r="J180" s="2104"/>
      <c r="K180" s="1454"/>
      <c r="L180" s="2103"/>
      <c r="M180" s="1406"/>
    </row>
    <row r="181" spans="1:25" ht="11.25" customHeight="1" x14ac:dyDescent="0.25">
      <c r="A181" s="1027">
        <f t="shared" si="96"/>
        <v>0</v>
      </c>
      <c r="B181" s="171"/>
      <c r="C181" s="1454"/>
      <c r="D181" s="1454"/>
      <c r="E181" s="2103"/>
      <c r="F181" s="2104"/>
      <c r="G181" s="1454"/>
      <c r="H181" s="2103"/>
      <c r="I181" s="1455"/>
      <c r="J181" s="2104"/>
      <c r="K181" s="1454"/>
      <c r="L181" s="2103"/>
      <c r="M181" s="1406"/>
    </row>
    <row r="182" spans="1:25" ht="11.25" customHeight="1" x14ac:dyDescent="0.25">
      <c r="A182" s="1027">
        <f t="shared" si="96"/>
        <v>0</v>
      </c>
      <c r="B182" s="171"/>
      <c r="C182" s="1454"/>
      <c r="D182" s="1454"/>
      <c r="E182" s="2103"/>
      <c r="F182" s="2104"/>
      <c r="G182" s="1454"/>
      <c r="H182" s="2103"/>
      <c r="I182" s="1455"/>
      <c r="J182" s="2104"/>
      <c r="K182" s="1454"/>
      <c r="L182" s="2103"/>
      <c r="M182" s="1406"/>
    </row>
    <row r="183" spans="1:25" ht="11.25" customHeight="1" x14ac:dyDescent="0.25">
      <c r="A183" s="1027">
        <f t="shared" si="96"/>
        <v>0</v>
      </c>
      <c r="B183" s="171"/>
      <c r="C183" s="1454"/>
      <c r="D183" s="1454"/>
      <c r="E183" s="2103"/>
      <c r="F183" s="2104"/>
      <c r="G183" s="1454"/>
      <c r="H183" s="2103"/>
      <c r="I183" s="1455"/>
      <c r="J183" s="2104"/>
      <c r="K183" s="1454"/>
      <c r="L183" s="2103"/>
      <c r="M183" s="1406"/>
    </row>
    <row r="184" spans="1:25" ht="11.25" customHeight="1" x14ac:dyDescent="0.25">
      <c r="A184" s="1027">
        <f t="shared" si="96"/>
        <v>0</v>
      </c>
      <c r="B184" s="171"/>
      <c r="C184" s="1454"/>
      <c r="D184" s="1454"/>
      <c r="E184" s="2103"/>
      <c r="F184" s="2104"/>
      <c r="G184" s="1454"/>
      <c r="H184" s="2103"/>
      <c r="I184" s="1455"/>
      <c r="J184" s="2104"/>
      <c r="K184" s="1454"/>
      <c r="L184" s="2103"/>
      <c r="M184" s="1406"/>
    </row>
    <row r="185" spans="1:25" ht="11.25" customHeight="1" x14ac:dyDescent="0.25">
      <c r="A185" s="1027">
        <f t="shared" si="96"/>
        <v>0</v>
      </c>
      <c r="B185" s="171"/>
      <c r="C185" s="1454"/>
      <c r="D185" s="1454"/>
      <c r="E185" s="2103"/>
      <c r="F185" s="2104"/>
      <c r="G185" s="1454"/>
      <c r="H185" s="2103"/>
      <c r="I185" s="1455"/>
      <c r="J185" s="2104"/>
      <c r="K185" s="1454"/>
      <c r="L185" s="2103"/>
      <c r="M185" s="1406"/>
      <c r="W185" s="27">
        <v>0</v>
      </c>
      <c r="X185" s="27">
        <v>0</v>
      </c>
      <c r="Y185" s="27">
        <v>0</v>
      </c>
    </row>
    <row r="186" spans="1:25" ht="15" customHeight="1" x14ac:dyDescent="0.25">
      <c r="A186" s="1027" t="str">
        <f t="shared" si="96"/>
        <v>Vote 2 - MUNICIPAL MANAGER</v>
      </c>
      <c r="B186" s="854"/>
      <c r="C186" s="849">
        <f t="shared" ref="C186:L186" si="97">SUM(C187:C196)</f>
        <v>0</v>
      </c>
      <c r="D186" s="849">
        <f t="shared" si="97"/>
        <v>0</v>
      </c>
      <c r="E186" s="850">
        <f t="shared" si="97"/>
        <v>0</v>
      </c>
      <c r="F186" s="851">
        <f t="shared" si="97"/>
        <v>0</v>
      </c>
      <c r="G186" s="849">
        <f t="shared" si="97"/>
        <v>0</v>
      </c>
      <c r="H186" s="850">
        <f t="shared" si="97"/>
        <v>0</v>
      </c>
      <c r="I186" s="852">
        <f t="shared" si="97"/>
        <v>0</v>
      </c>
      <c r="J186" s="851">
        <f t="shared" si="97"/>
        <v>0</v>
      </c>
      <c r="K186" s="849">
        <f t="shared" si="97"/>
        <v>0</v>
      </c>
      <c r="L186" s="850">
        <f t="shared" si="97"/>
        <v>0</v>
      </c>
      <c r="M186" s="1406"/>
      <c r="V186" s="852">
        <f t="shared" ref="V186:X186" si="98">SUM(V187:V196)</f>
        <v>0</v>
      </c>
      <c r="W186" s="852">
        <f t="shared" si="98"/>
        <v>0</v>
      </c>
      <c r="X186" s="852">
        <f t="shared" si="98"/>
        <v>0</v>
      </c>
    </row>
    <row r="187" spans="1:25" ht="11.25" customHeight="1" x14ac:dyDescent="0.25">
      <c r="A187" s="1027" t="str">
        <f t="shared" si="96"/>
        <v>2.1 - MUNICIPAL MANAGER</v>
      </c>
      <c r="B187" s="171"/>
      <c r="C187" s="1454"/>
      <c r="D187" s="1454"/>
      <c r="E187" s="2103"/>
      <c r="F187" s="2104"/>
      <c r="G187" s="1454"/>
      <c r="H187" s="2103"/>
      <c r="I187" s="1455"/>
      <c r="J187" s="2104"/>
      <c r="K187" s="1454"/>
      <c r="L187" s="2103"/>
      <c r="M187" s="1406"/>
    </row>
    <row r="188" spans="1:25" ht="11.25" customHeight="1" x14ac:dyDescent="0.25">
      <c r="A188" s="1027" t="str">
        <f t="shared" si="96"/>
        <v>2.2 - URBAN RENEWAL</v>
      </c>
      <c r="B188" s="171"/>
      <c r="C188" s="1454"/>
      <c r="D188" s="1454"/>
      <c r="E188" s="2103"/>
      <c r="F188" s="2104"/>
      <c r="G188" s="1454"/>
      <c r="H188" s="2103"/>
      <c r="I188" s="1455"/>
      <c r="J188" s="2104"/>
      <c r="K188" s="1454"/>
      <c r="L188" s="2103"/>
      <c r="M188" s="1406"/>
    </row>
    <row r="189" spans="1:25" ht="11.25" customHeight="1" x14ac:dyDescent="0.25">
      <c r="A189" s="1027">
        <f t="shared" si="96"/>
        <v>0</v>
      </c>
      <c r="B189" s="171"/>
      <c r="C189" s="1454"/>
      <c r="D189" s="1454"/>
      <c r="E189" s="2103"/>
      <c r="F189" s="2104"/>
      <c r="G189" s="1454"/>
      <c r="H189" s="2103"/>
      <c r="I189" s="1455"/>
      <c r="J189" s="2104"/>
      <c r="K189" s="1454"/>
      <c r="L189" s="2103"/>
      <c r="M189" s="1406"/>
    </row>
    <row r="190" spans="1:25" ht="11.25" customHeight="1" x14ac:dyDescent="0.25">
      <c r="A190" s="1027">
        <f t="shared" si="96"/>
        <v>0</v>
      </c>
      <c r="B190" s="171"/>
      <c r="C190" s="1454"/>
      <c r="D190" s="1454"/>
      <c r="E190" s="2103"/>
      <c r="F190" s="2104"/>
      <c r="G190" s="1454"/>
      <c r="H190" s="2103"/>
      <c r="I190" s="1455"/>
      <c r="J190" s="2104"/>
      <c r="K190" s="1454"/>
      <c r="L190" s="2103"/>
      <c r="M190" s="1406"/>
    </row>
    <row r="191" spans="1:25" ht="11.25" customHeight="1" x14ac:dyDescent="0.25">
      <c r="A191" s="1027">
        <f t="shared" si="96"/>
        <v>0</v>
      </c>
      <c r="B191" s="171"/>
      <c r="C191" s="1454"/>
      <c r="D191" s="1454"/>
      <c r="E191" s="2103"/>
      <c r="F191" s="2104"/>
      <c r="G191" s="1454"/>
      <c r="H191" s="2103"/>
      <c r="I191" s="1455"/>
      <c r="J191" s="2104"/>
      <c r="K191" s="1454"/>
      <c r="L191" s="2103"/>
      <c r="M191" s="1406"/>
    </row>
    <row r="192" spans="1:25" ht="11.25" customHeight="1" x14ac:dyDescent="0.25">
      <c r="A192" s="1027">
        <f t="shared" si="96"/>
        <v>0</v>
      </c>
      <c r="B192" s="171"/>
      <c r="C192" s="1454"/>
      <c r="D192" s="1454"/>
      <c r="E192" s="2103"/>
      <c r="F192" s="2104"/>
      <c r="G192" s="1454"/>
      <c r="H192" s="2103"/>
      <c r="I192" s="1455"/>
      <c r="J192" s="2104"/>
      <c r="K192" s="1454"/>
      <c r="L192" s="2103"/>
      <c r="M192" s="1406"/>
    </row>
    <row r="193" spans="1:24" ht="11.25" customHeight="1" x14ac:dyDescent="0.25">
      <c r="A193" s="1027">
        <f t="shared" si="96"/>
        <v>0</v>
      </c>
      <c r="B193" s="171"/>
      <c r="C193" s="1454"/>
      <c r="D193" s="1454"/>
      <c r="E193" s="2103"/>
      <c r="F193" s="2104"/>
      <c r="G193" s="1454"/>
      <c r="H193" s="2103"/>
      <c r="I193" s="1455"/>
      <c r="J193" s="2104"/>
      <c r="K193" s="1454"/>
      <c r="L193" s="2103"/>
      <c r="M193" s="1406"/>
    </row>
    <row r="194" spans="1:24" ht="13.5" x14ac:dyDescent="0.25">
      <c r="A194" s="1027">
        <f t="shared" si="96"/>
        <v>0</v>
      </c>
      <c r="B194" s="171"/>
      <c r="C194" s="1454"/>
      <c r="D194" s="1454"/>
      <c r="E194" s="2103"/>
      <c r="F194" s="2104"/>
      <c r="G194" s="1454"/>
      <c r="H194" s="2103"/>
      <c r="I194" s="1455"/>
      <c r="J194" s="2104"/>
      <c r="K194" s="1454"/>
      <c r="L194" s="2103"/>
      <c r="M194" s="1406"/>
    </row>
    <row r="195" spans="1:24" ht="11.25" customHeight="1" x14ac:dyDescent="0.25">
      <c r="A195" s="1027">
        <f t="shared" si="96"/>
        <v>0</v>
      </c>
      <c r="B195" s="171"/>
      <c r="C195" s="1454"/>
      <c r="D195" s="1454"/>
      <c r="E195" s="2103"/>
      <c r="F195" s="2104"/>
      <c r="G195" s="1454"/>
      <c r="H195" s="2103"/>
      <c r="I195" s="1455"/>
      <c r="J195" s="2104"/>
      <c r="K195" s="1454"/>
      <c r="L195" s="2103"/>
      <c r="M195" s="1406"/>
    </row>
    <row r="196" spans="1:24" ht="11.25" customHeight="1" x14ac:dyDescent="0.25">
      <c r="A196" s="1027">
        <f t="shared" si="96"/>
        <v>0</v>
      </c>
      <c r="B196" s="171"/>
      <c r="C196" s="1454"/>
      <c r="D196" s="1454"/>
      <c r="E196" s="2103"/>
      <c r="F196" s="2104"/>
      <c r="G196" s="1454"/>
      <c r="H196" s="2103"/>
      <c r="I196" s="1455"/>
      <c r="J196" s="2104"/>
      <c r="K196" s="1454"/>
      <c r="L196" s="2103"/>
      <c r="M196" s="1406"/>
    </row>
    <row r="197" spans="1:24" ht="15" customHeight="1" x14ac:dyDescent="0.25">
      <c r="A197" s="1027" t="str">
        <f t="shared" si="96"/>
        <v>Vote 3 - FINANCE</v>
      </c>
      <c r="B197" s="854"/>
      <c r="C197" s="849">
        <f t="shared" ref="C197:L197" si="99">SUM(C198:C207)</f>
        <v>0</v>
      </c>
      <c r="D197" s="849">
        <f t="shared" si="99"/>
        <v>0</v>
      </c>
      <c r="E197" s="850">
        <f t="shared" si="99"/>
        <v>0</v>
      </c>
      <c r="F197" s="851">
        <f t="shared" si="99"/>
        <v>0</v>
      </c>
      <c r="G197" s="849">
        <f t="shared" si="99"/>
        <v>0</v>
      </c>
      <c r="H197" s="850">
        <f t="shared" si="99"/>
        <v>0</v>
      </c>
      <c r="I197" s="852">
        <f t="shared" si="99"/>
        <v>0</v>
      </c>
      <c r="J197" s="851">
        <f t="shared" si="99"/>
        <v>0</v>
      </c>
      <c r="K197" s="849">
        <f t="shared" si="99"/>
        <v>0</v>
      </c>
      <c r="L197" s="850">
        <f t="shared" si="99"/>
        <v>0</v>
      </c>
      <c r="M197" s="1406"/>
      <c r="V197" s="852">
        <f t="shared" ref="V197:X197" si="100">SUM(V198:V207)</f>
        <v>0</v>
      </c>
      <c r="W197" s="852">
        <f t="shared" si="100"/>
        <v>0</v>
      </c>
      <c r="X197" s="852">
        <f t="shared" si="100"/>
        <v>0</v>
      </c>
    </row>
    <row r="198" spans="1:24" ht="11.25" customHeight="1" x14ac:dyDescent="0.25">
      <c r="A198" s="1027" t="str">
        <f t="shared" si="96"/>
        <v>3.1 - FINANCE</v>
      </c>
      <c r="B198" s="171"/>
      <c r="C198" s="1454"/>
      <c r="D198" s="1454"/>
      <c r="E198" s="2103"/>
      <c r="F198" s="2104"/>
      <c r="G198" s="1454"/>
      <c r="H198" s="2103"/>
      <c r="I198" s="1455"/>
      <c r="J198" s="2104"/>
      <c r="K198" s="1454"/>
      <c r="L198" s="2103"/>
      <c r="M198" s="1406"/>
    </row>
    <row r="199" spans="1:24" ht="11.25" customHeight="1" x14ac:dyDescent="0.25">
      <c r="A199" s="1027" t="str">
        <f t="shared" si="96"/>
        <v>3.2 - STORES</v>
      </c>
      <c r="B199" s="171"/>
      <c r="C199" s="1454"/>
      <c r="D199" s="1454"/>
      <c r="E199" s="2103"/>
      <c r="F199" s="2104"/>
      <c r="G199" s="1454"/>
      <c r="H199" s="2103"/>
      <c r="I199" s="1455"/>
      <c r="J199" s="2104"/>
      <c r="K199" s="1454"/>
      <c r="L199" s="2103"/>
      <c r="M199" s="1406"/>
    </row>
    <row r="200" spans="1:24" ht="11.25" customHeight="1" x14ac:dyDescent="0.25">
      <c r="A200" s="1027" t="str">
        <f t="shared" si="96"/>
        <v>3.3 - FLEET</v>
      </c>
      <c r="B200" s="171"/>
      <c r="C200" s="1454"/>
      <c r="D200" s="1454"/>
      <c r="E200" s="2103"/>
      <c r="F200" s="2104"/>
      <c r="G200" s="1454"/>
      <c r="H200" s="2103"/>
      <c r="I200" s="1455"/>
      <c r="J200" s="2104"/>
      <c r="K200" s="1454"/>
      <c r="L200" s="2103"/>
      <c r="M200" s="1406"/>
    </row>
    <row r="201" spans="1:24" ht="11.25" customHeight="1" x14ac:dyDescent="0.25">
      <c r="A201" s="1027">
        <f t="shared" si="96"/>
        <v>0</v>
      </c>
      <c r="B201" s="171"/>
      <c r="C201" s="908"/>
      <c r="D201" s="908"/>
      <c r="E201" s="909"/>
      <c r="F201" s="910"/>
      <c r="G201" s="908"/>
      <c r="H201" s="909"/>
      <c r="I201" s="911"/>
      <c r="J201" s="910"/>
      <c r="K201" s="908"/>
      <c r="L201" s="909"/>
      <c r="M201" s="1406"/>
    </row>
    <row r="202" spans="1:24" ht="11.25" customHeight="1" x14ac:dyDescent="0.25">
      <c r="A202" s="1027">
        <f t="shared" si="96"/>
        <v>0</v>
      </c>
      <c r="B202" s="171"/>
      <c r="C202" s="908"/>
      <c r="D202" s="908"/>
      <c r="E202" s="909"/>
      <c r="F202" s="910"/>
      <c r="G202" s="908"/>
      <c r="H202" s="909"/>
      <c r="I202" s="911"/>
      <c r="J202" s="910"/>
      <c r="K202" s="908"/>
      <c r="L202" s="909"/>
      <c r="M202" s="1406"/>
    </row>
    <row r="203" spans="1:24" ht="11.25" customHeight="1" x14ac:dyDescent="0.25">
      <c r="A203" s="1027">
        <f t="shared" si="96"/>
        <v>0</v>
      </c>
      <c r="B203" s="171"/>
      <c r="C203" s="908"/>
      <c r="D203" s="908"/>
      <c r="E203" s="909"/>
      <c r="F203" s="910"/>
      <c r="G203" s="908"/>
      <c r="H203" s="909"/>
      <c r="I203" s="911"/>
      <c r="J203" s="910"/>
      <c r="K203" s="908"/>
      <c r="L203" s="909"/>
      <c r="M203" s="1406"/>
    </row>
    <row r="204" spans="1:24" ht="13.5" x14ac:dyDescent="0.25">
      <c r="A204" s="1027">
        <f t="shared" si="96"/>
        <v>0</v>
      </c>
      <c r="B204" s="171"/>
      <c r="C204" s="908"/>
      <c r="D204" s="908"/>
      <c r="E204" s="909"/>
      <c r="F204" s="910"/>
      <c r="G204" s="908"/>
      <c r="H204" s="909"/>
      <c r="I204" s="911"/>
      <c r="J204" s="910"/>
      <c r="K204" s="908"/>
      <c r="L204" s="909"/>
      <c r="M204" s="1406"/>
    </row>
    <row r="205" spans="1:24" ht="13.5" x14ac:dyDescent="0.25">
      <c r="A205" s="1027">
        <f t="shared" si="96"/>
        <v>0</v>
      </c>
      <c r="B205" s="171"/>
      <c r="C205" s="908"/>
      <c r="D205" s="908"/>
      <c r="E205" s="909"/>
      <c r="F205" s="910"/>
      <c r="G205" s="908"/>
      <c r="H205" s="909"/>
      <c r="I205" s="911"/>
      <c r="J205" s="910"/>
      <c r="K205" s="908"/>
      <c r="L205" s="909"/>
      <c r="M205" s="1406"/>
    </row>
    <row r="206" spans="1:24" ht="11.25" customHeight="1" x14ac:dyDescent="0.25">
      <c r="A206" s="1027">
        <f t="shared" si="96"/>
        <v>0</v>
      </c>
      <c r="B206" s="171"/>
      <c r="C206" s="908"/>
      <c r="D206" s="908"/>
      <c r="E206" s="909"/>
      <c r="F206" s="910"/>
      <c r="G206" s="908"/>
      <c r="H206" s="909"/>
      <c r="I206" s="911"/>
      <c r="J206" s="910"/>
      <c r="K206" s="908"/>
      <c r="L206" s="909"/>
      <c r="M206" s="1406"/>
    </row>
    <row r="207" spans="1:24" ht="13.5" x14ac:dyDescent="0.25">
      <c r="A207" s="1027">
        <f t="shared" si="96"/>
        <v>0</v>
      </c>
      <c r="B207" s="171"/>
      <c r="C207" s="908"/>
      <c r="D207" s="908"/>
      <c r="E207" s="909"/>
      <c r="F207" s="910"/>
      <c r="G207" s="908"/>
      <c r="H207" s="909"/>
      <c r="I207" s="911"/>
      <c r="J207" s="910"/>
      <c r="K207" s="908"/>
      <c r="L207" s="909"/>
      <c r="M207" s="1406"/>
    </row>
    <row r="208" spans="1:24" ht="15" customHeight="1" x14ac:dyDescent="0.25">
      <c r="A208" s="1027" t="str">
        <f t="shared" si="96"/>
        <v>Vote 4 - CORPORATE SERVICES MANAGEMENT</v>
      </c>
      <c r="B208" s="854"/>
      <c r="C208" s="849">
        <f t="shared" ref="C208:L208" si="101">SUM(C209:C218)</f>
        <v>1000000</v>
      </c>
      <c r="D208" s="849">
        <f t="shared" si="101"/>
        <v>1217854.19</v>
      </c>
      <c r="E208" s="850">
        <f t="shared" si="101"/>
        <v>177182</v>
      </c>
      <c r="F208" s="855">
        <f t="shared" si="101"/>
        <v>1513874</v>
      </c>
      <c r="G208" s="849">
        <f t="shared" si="101"/>
        <v>1013874</v>
      </c>
      <c r="H208" s="850">
        <f t="shared" si="101"/>
        <v>1013874</v>
      </c>
      <c r="I208" s="852">
        <f t="shared" si="101"/>
        <v>1013874</v>
      </c>
      <c r="J208" s="851">
        <f t="shared" si="101"/>
        <v>971600</v>
      </c>
      <c r="K208" s="849">
        <f t="shared" si="101"/>
        <v>1029896</v>
      </c>
      <c r="L208" s="856">
        <f t="shared" si="101"/>
        <v>1091689.76</v>
      </c>
      <c r="M208" s="1406"/>
      <c r="V208" s="852">
        <f t="shared" ref="V208:X208" si="102">SUM(V209:V218)</f>
        <v>0</v>
      </c>
      <c r="W208" s="852">
        <f t="shared" si="102"/>
        <v>0</v>
      </c>
      <c r="X208" s="852">
        <f t="shared" si="102"/>
        <v>0</v>
      </c>
    </row>
    <row r="209" spans="1:24" ht="13.5" x14ac:dyDescent="0.25">
      <c r="A209" s="1027">
        <f t="shared" si="96"/>
        <v>0</v>
      </c>
      <c r="B209" s="171"/>
      <c r="C209" s="908"/>
      <c r="D209" s="908"/>
      <c r="E209" s="909"/>
      <c r="F209" s="910"/>
      <c r="G209" s="908"/>
      <c r="H209" s="909"/>
      <c r="I209" s="911"/>
      <c r="J209" s="910"/>
      <c r="K209" s="908"/>
      <c r="L209" s="909"/>
      <c r="M209" s="1406"/>
    </row>
    <row r="210" spans="1:24" ht="13.5" x14ac:dyDescent="0.25">
      <c r="A210" s="1027" t="str">
        <f t="shared" si="96"/>
        <v>4.2 - HUMAN RESOURCES</v>
      </c>
      <c r="B210" s="171"/>
      <c r="C210" s="908"/>
      <c r="D210" s="908"/>
      <c r="E210" s="909"/>
      <c r="F210" s="910"/>
      <c r="G210" s="908"/>
      <c r="H210" s="909"/>
      <c r="I210" s="911"/>
      <c r="J210" s="910"/>
      <c r="K210" s="908"/>
      <c r="L210" s="909"/>
      <c r="M210" s="1406"/>
    </row>
    <row r="211" spans="1:24" ht="11.25" customHeight="1" x14ac:dyDescent="0.25">
      <c r="A211" s="1027" t="str">
        <f t="shared" si="96"/>
        <v>4.3 - ADMINISTRATION</v>
      </c>
      <c r="B211" s="171"/>
      <c r="C211" s="908">
        <v>1000000</v>
      </c>
      <c r="D211" s="908">
        <v>1217854.19</v>
      </c>
      <c r="E211" s="909">
        <v>177182</v>
      </c>
      <c r="F211" s="910">
        <v>1513874</v>
      </c>
      <c r="G211" s="908">
        <v>1013874</v>
      </c>
      <c r="H211" s="909">
        <v>1013874</v>
      </c>
      <c r="I211" s="911">
        <v>1013874</v>
      </c>
      <c r="J211" s="910">
        <v>971600</v>
      </c>
      <c r="K211" s="908">
        <v>1029896</v>
      </c>
      <c r="L211" s="909">
        <v>1091689.76</v>
      </c>
      <c r="M211" s="1406"/>
    </row>
    <row r="212" spans="1:24" s="213" customFormat="1" ht="11.25" customHeight="1" x14ac:dyDescent="0.25">
      <c r="A212" s="1027" t="str">
        <f t="shared" si="96"/>
        <v>4.4 - CORPORATE SERVICES MANAGEMENT</v>
      </c>
      <c r="B212" s="171"/>
      <c r="C212" s="908"/>
      <c r="D212" s="908"/>
      <c r="E212" s="909"/>
      <c r="F212" s="910"/>
      <c r="G212" s="908"/>
      <c r="H212" s="909"/>
      <c r="I212" s="911"/>
      <c r="J212" s="910"/>
      <c r="K212" s="908"/>
      <c r="L212" s="909"/>
      <c r="M212" s="1406"/>
    </row>
    <row r="213" spans="1:24" s="213" customFormat="1" ht="11.25" customHeight="1" x14ac:dyDescent="0.25">
      <c r="A213" s="1027">
        <f t="shared" si="96"/>
        <v>0</v>
      </c>
      <c r="B213" s="171"/>
      <c r="C213" s="908"/>
      <c r="D213" s="908"/>
      <c r="E213" s="909"/>
      <c r="F213" s="910"/>
      <c r="G213" s="908"/>
      <c r="H213" s="909"/>
      <c r="I213" s="911"/>
      <c r="J213" s="910"/>
      <c r="K213" s="908"/>
      <c r="L213" s="909"/>
      <c r="M213" s="1406"/>
    </row>
    <row r="214" spans="1:24" ht="11.25" customHeight="1" x14ac:dyDescent="0.25">
      <c r="A214" s="1027">
        <f t="shared" si="96"/>
        <v>0</v>
      </c>
      <c r="B214" s="171"/>
      <c r="C214" s="908"/>
      <c r="D214" s="908"/>
      <c r="E214" s="909"/>
      <c r="F214" s="910"/>
      <c r="G214" s="908"/>
      <c r="H214" s="909"/>
      <c r="I214" s="911"/>
      <c r="J214" s="910"/>
      <c r="K214" s="908"/>
      <c r="L214" s="909"/>
      <c r="M214" s="1406"/>
    </row>
    <row r="215" spans="1:24" ht="11.25" customHeight="1" x14ac:dyDescent="0.25">
      <c r="A215" s="1027">
        <f t="shared" si="96"/>
        <v>0</v>
      </c>
      <c r="B215" s="171"/>
      <c r="C215" s="908"/>
      <c r="D215" s="908"/>
      <c r="E215" s="909"/>
      <c r="F215" s="910"/>
      <c r="G215" s="908"/>
      <c r="H215" s="909"/>
      <c r="I215" s="911"/>
      <c r="J215" s="910"/>
      <c r="K215" s="908"/>
      <c r="L215" s="909"/>
      <c r="M215" s="1406"/>
    </row>
    <row r="216" spans="1:24" ht="11.25" customHeight="1" x14ac:dyDescent="0.25">
      <c r="A216" s="1027">
        <f t="shared" si="96"/>
        <v>0</v>
      </c>
      <c r="B216" s="171"/>
      <c r="C216" s="908"/>
      <c r="D216" s="908"/>
      <c r="E216" s="909"/>
      <c r="F216" s="910"/>
      <c r="G216" s="908"/>
      <c r="H216" s="909"/>
      <c r="I216" s="911"/>
      <c r="J216" s="910"/>
      <c r="K216" s="908"/>
      <c r="L216" s="909"/>
      <c r="M216" s="1406"/>
    </row>
    <row r="217" spans="1:24" ht="11.25" customHeight="1" x14ac:dyDescent="0.25">
      <c r="A217" s="1027">
        <f t="shared" si="96"/>
        <v>0</v>
      </c>
      <c r="B217" s="171"/>
      <c r="C217" s="908"/>
      <c r="D217" s="908"/>
      <c r="E217" s="909"/>
      <c r="F217" s="910"/>
      <c r="G217" s="908"/>
      <c r="H217" s="909"/>
      <c r="I217" s="911"/>
      <c r="J217" s="910"/>
      <c r="K217" s="908"/>
      <c r="L217" s="909"/>
      <c r="M217" s="1406"/>
    </row>
    <row r="218" spans="1:24" ht="11.25" customHeight="1" x14ac:dyDescent="0.25">
      <c r="A218" s="1027">
        <f t="shared" si="96"/>
        <v>0</v>
      </c>
      <c r="B218" s="171"/>
      <c r="C218" s="908"/>
      <c r="D218" s="908"/>
      <c r="E218" s="909"/>
      <c r="F218" s="910"/>
      <c r="G218" s="908"/>
      <c r="H218" s="909"/>
      <c r="I218" s="911"/>
      <c r="J218" s="910"/>
      <c r="K218" s="908"/>
      <c r="L218" s="909"/>
      <c r="M218" s="1406"/>
    </row>
    <row r="219" spans="1:24" ht="15" customHeight="1" x14ac:dyDescent="0.25">
      <c r="A219" s="1027" t="str">
        <f t="shared" si="96"/>
        <v>Vote 5 - COMMUNITY SERVICES MANAGEMENT</v>
      </c>
      <c r="B219" s="854"/>
      <c r="C219" s="849">
        <f t="shared" ref="C219:L219" si="103">SUM(C220:C229)</f>
        <v>2675000</v>
      </c>
      <c r="D219" s="849">
        <f t="shared" si="103"/>
        <v>0</v>
      </c>
      <c r="E219" s="850">
        <f t="shared" si="103"/>
        <v>6240027</v>
      </c>
      <c r="F219" s="851">
        <f t="shared" si="103"/>
        <v>3536339</v>
      </c>
      <c r="G219" s="849">
        <f t="shared" si="103"/>
        <v>2819839</v>
      </c>
      <c r="H219" s="850">
        <f t="shared" si="103"/>
        <v>2819839</v>
      </c>
      <c r="I219" s="852">
        <f t="shared" si="103"/>
        <v>2819839</v>
      </c>
      <c r="J219" s="851">
        <f t="shared" si="103"/>
        <v>6094000</v>
      </c>
      <c r="K219" s="849">
        <f t="shared" si="103"/>
        <v>6459640</v>
      </c>
      <c r="L219" s="850">
        <f t="shared" si="103"/>
        <v>6847218.4000000004</v>
      </c>
      <c r="M219" s="1406"/>
      <c r="V219" s="852">
        <f t="shared" ref="V219:X219" si="104">SUM(V220:V229)</f>
        <v>0</v>
      </c>
      <c r="W219" s="852">
        <f t="shared" si="104"/>
        <v>0</v>
      </c>
      <c r="X219" s="852">
        <f t="shared" si="104"/>
        <v>0</v>
      </c>
    </row>
    <row r="220" spans="1:24" ht="11.25" customHeight="1" x14ac:dyDescent="0.25">
      <c r="A220" s="1027" t="str">
        <f t="shared" si="96"/>
        <v>5.1 - COMMUNITY SERVICES MANAGEMENT</v>
      </c>
      <c r="B220" s="171"/>
      <c r="C220" s="908"/>
      <c r="D220" s="908"/>
      <c r="E220" s="909">
        <v>5559048</v>
      </c>
      <c r="F220" s="910"/>
      <c r="G220" s="908"/>
      <c r="H220" s="909"/>
      <c r="I220" s="911"/>
      <c r="J220" s="910"/>
      <c r="K220" s="908"/>
      <c r="L220" s="909"/>
      <c r="M220" s="1406"/>
    </row>
    <row r="221" spans="1:24" ht="11.25" customHeight="1" x14ac:dyDescent="0.25">
      <c r="A221" s="1027" t="str">
        <f t="shared" si="96"/>
        <v>5.2 - LIBRARY</v>
      </c>
      <c r="B221" s="171"/>
      <c r="C221" s="908"/>
      <c r="D221" s="908"/>
      <c r="E221" s="909"/>
      <c r="F221" s="910"/>
      <c r="G221" s="908"/>
      <c r="H221" s="909"/>
      <c r="I221" s="911"/>
      <c r="J221" s="910"/>
      <c r="K221" s="908"/>
      <c r="L221" s="909"/>
      <c r="M221" s="1406"/>
    </row>
    <row r="222" spans="1:24" ht="11.25" customHeight="1" x14ac:dyDescent="0.25">
      <c r="A222" s="1027" t="str">
        <f t="shared" si="96"/>
        <v>5.3 - HEALTH GENERAL</v>
      </c>
      <c r="B222" s="171"/>
      <c r="C222" s="908"/>
      <c r="D222" s="908"/>
      <c r="E222" s="909"/>
      <c r="F222" s="910"/>
      <c r="G222" s="908"/>
      <c r="H222" s="909"/>
      <c r="I222" s="911"/>
      <c r="J222" s="910"/>
      <c r="K222" s="908"/>
      <c r="L222" s="909"/>
      <c r="M222" s="1406"/>
    </row>
    <row r="223" spans="1:24" ht="11.25" customHeight="1" x14ac:dyDescent="0.25">
      <c r="A223" s="1027" t="str">
        <f t="shared" si="96"/>
        <v>5.4 - REGISTRATION AUTHORITY</v>
      </c>
      <c r="B223" s="171"/>
      <c r="C223" s="908"/>
      <c r="D223" s="908"/>
      <c r="E223" s="909"/>
      <c r="F223" s="910">
        <v>1200000</v>
      </c>
      <c r="G223" s="908">
        <v>883500</v>
      </c>
      <c r="H223" s="908">
        <v>883500</v>
      </c>
      <c r="I223" s="908">
        <v>883500</v>
      </c>
      <c r="J223" s="910">
        <v>2224000</v>
      </c>
      <c r="K223" s="908">
        <v>2357440</v>
      </c>
      <c r="L223" s="909">
        <v>2498886.4</v>
      </c>
      <c r="M223" s="1406"/>
    </row>
    <row r="224" spans="1:24" ht="11.25" customHeight="1" x14ac:dyDescent="0.25">
      <c r="A224" s="1027" t="str">
        <f t="shared" si="96"/>
        <v>5.5 - LICENCING &amp; TRAFFIC</v>
      </c>
      <c r="B224" s="171"/>
      <c r="C224" s="908">
        <v>615000</v>
      </c>
      <c r="D224" s="908"/>
      <c r="E224" s="909"/>
      <c r="F224" s="910"/>
      <c r="G224" s="908"/>
      <c r="H224" s="909"/>
      <c r="I224" s="911"/>
      <c r="J224" s="910"/>
      <c r="K224" s="908"/>
      <c r="L224" s="909"/>
      <c r="M224" s="1406"/>
    </row>
    <row r="225" spans="1:24" ht="11.25" customHeight="1" x14ac:dyDescent="0.25">
      <c r="A225" s="1027" t="str">
        <f t="shared" si="96"/>
        <v>5.6 - PARKS &amp; CEMETRIES</v>
      </c>
      <c r="B225" s="171"/>
      <c r="C225" s="908">
        <v>1210000</v>
      </c>
      <c r="D225" s="908"/>
      <c r="E225" s="909"/>
      <c r="F225" s="910">
        <v>2336339</v>
      </c>
      <c r="G225" s="908">
        <v>1936339</v>
      </c>
      <c r="H225" s="908">
        <v>1936339</v>
      </c>
      <c r="I225" s="908">
        <v>1936339</v>
      </c>
      <c r="J225" s="910">
        <v>2300000</v>
      </c>
      <c r="K225" s="908">
        <v>2438000</v>
      </c>
      <c r="L225" s="909">
        <v>2584280</v>
      </c>
      <c r="M225" s="1406"/>
    </row>
    <row r="226" spans="1:24" ht="11.25" customHeight="1" x14ac:dyDescent="0.25">
      <c r="A226" s="1027" t="str">
        <f t="shared" si="96"/>
        <v>5.7 - SOLID WASTE</v>
      </c>
      <c r="B226" s="171"/>
      <c r="C226" s="908">
        <v>850000</v>
      </c>
      <c r="D226" s="908"/>
      <c r="E226" s="909">
        <v>680979</v>
      </c>
      <c r="F226" s="910"/>
      <c r="G226" s="908"/>
      <c r="H226" s="909"/>
      <c r="I226" s="911"/>
      <c r="J226" s="910">
        <v>1320000</v>
      </c>
      <c r="K226" s="908">
        <v>1399200</v>
      </c>
      <c r="L226" s="909">
        <v>1483152</v>
      </c>
      <c r="M226" s="1406"/>
    </row>
    <row r="227" spans="1:24" ht="11.25" customHeight="1" x14ac:dyDescent="0.25">
      <c r="A227" s="1027" t="str">
        <f t="shared" si="96"/>
        <v>5.8 - SPORTS ARTS AND CULTURE</v>
      </c>
      <c r="B227" s="171"/>
      <c r="C227" s="908"/>
      <c r="D227" s="908"/>
      <c r="E227" s="909"/>
      <c r="F227" s="910"/>
      <c r="G227" s="908"/>
      <c r="H227" s="909"/>
      <c r="I227" s="911"/>
      <c r="J227" s="910">
        <v>250000</v>
      </c>
      <c r="K227" s="908">
        <v>265000</v>
      </c>
      <c r="L227" s="909">
        <v>280900</v>
      </c>
      <c r="M227" s="1406"/>
    </row>
    <row r="228" spans="1:24" ht="11.25" customHeight="1" x14ac:dyDescent="0.25">
      <c r="A228" s="1027" t="str">
        <f t="shared" si="96"/>
        <v>5.9 - HIV/AIDS</v>
      </c>
      <c r="B228" s="171"/>
      <c r="C228" s="908"/>
      <c r="D228" s="908"/>
      <c r="E228" s="909"/>
      <c r="F228" s="910"/>
      <c r="G228" s="908"/>
      <c r="H228" s="909"/>
      <c r="I228" s="911"/>
      <c r="J228" s="910"/>
      <c r="K228" s="908"/>
      <c r="L228" s="909"/>
      <c r="M228" s="1406"/>
    </row>
    <row r="229" spans="1:24" ht="11.25" customHeight="1" x14ac:dyDescent="0.25">
      <c r="A229" s="1027">
        <f t="shared" si="96"/>
        <v>0</v>
      </c>
      <c r="B229" s="171"/>
      <c r="C229" s="908"/>
      <c r="D229" s="908"/>
      <c r="E229" s="909"/>
      <c r="F229" s="910"/>
      <c r="G229" s="908"/>
      <c r="H229" s="909"/>
      <c r="I229" s="911"/>
      <c r="J229" s="910"/>
      <c r="K229" s="908"/>
      <c r="L229" s="909"/>
      <c r="M229" s="1406"/>
    </row>
    <row r="230" spans="1:24" ht="15" customHeight="1" x14ac:dyDescent="0.25">
      <c r="A230" s="1027" t="str">
        <f t="shared" si="96"/>
        <v>Vote 6 - TECHNICAL SERVICES</v>
      </c>
      <c r="B230" s="854"/>
      <c r="C230" s="849">
        <f t="shared" ref="C230:L230" si="105">SUM(C231:C240)</f>
        <v>52269666</v>
      </c>
      <c r="D230" s="849">
        <f t="shared" si="105"/>
        <v>33524476.330000002</v>
      </c>
      <c r="E230" s="850">
        <f t="shared" si="105"/>
        <v>40090994</v>
      </c>
      <c r="F230" s="851">
        <f t="shared" si="105"/>
        <v>65765000</v>
      </c>
      <c r="G230" s="849">
        <f t="shared" si="105"/>
        <v>64621243</v>
      </c>
      <c r="H230" s="850">
        <f t="shared" si="105"/>
        <v>64621243</v>
      </c>
      <c r="I230" s="852">
        <f t="shared" si="105"/>
        <v>64621243</v>
      </c>
      <c r="J230" s="851">
        <f t="shared" si="105"/>
        <v>56842357.5</v>
      </c>
      <c r="K230" s="849">
        <f t="shared" si="105"/>
        <v>60599878.950000003</v>
      </c>
      <c r="L230" s="850">
        <f t="shared" si="105"/>
        <v>64993131.689999998</v>
      </c>
      <c r="M230" s="247"/>
      <c r="V230" s="852">
        <f t="shared" ref="V230:X230" si="106">SUM(V231:V240)</f>
        <v>0</v>
      </c>
      <c r="W230" s="852">
        <f t="shared" si="106"/>
        <v>0</v>
      </c>
      <c r="X230" s="852">
        <f t="shared" si="106"/>
        <v>0</v>
      </c>
    </row>
    <row r="231" spans="1:24" ht="11.25" customHeight="1" x14ac:dyDescent="0.25">
      <c r="A231" s="1027" t="str">
        <f t="shared" si="96"/>
        <v>6.1 - ELECTRICITY</v>
      </c>
      <c r="B231" s="171"/>
      <c r="C231" s="908">
        <v>2400000</v>
      </c>
      <c r="D231" s="908">
        <v>1084847.23</v>
      </c>
      <c r="E231" s="909">
        <v>283778</v>
      </c>
      <c r="F231" s="910">
        <v>1850000</v>
      </c>
      <c r="G231" s="908">
        <v>2666243</v>
      </c>
      <c r="H231" s="908">
        <v>2666243</v>
      </c>
      <c r="I231" s="908">
        <v>2666243</v>
      </c>
      <c r="J231" s="910">
        <v>5425357.5</v>
      </c>
      <c r="K231" s="908">
        <v>5750878.9500000002</v>
      </c>
      <c r="L231" s="909">
        <v>6095931.6900000004</v>
      </c>
      <c r="M231" s="247"/>
    </row>
    <row r="232" spans="1:24" ht="11.25" customHeight="1" x14ac:dyDescent="0.25">
      <c r="A232" s="1027" t="str">
        <f t="shared" si="96"/>
        <v>6.2 - WATER SERVICES</v>
      </c>
      <c r="B232" s="171"/>
      <c r="C232" s="908"/>
      <c r="D232" s="908"/>
      <c r="E232" s="909"/>
      <c r="F232" s="910"/>
      <c r="G232" s="908"/>
      <c r="H232" s="909"/>
      <c r="I232" s="911"/>
      <c r="J232" s="910"/>
      <c r="K232" s="908"/>
      <c r="L232" s="909"/>
      <c r="M232" s="247"/>
    </row>
    <row r="233" spans="1:24" ht="11.25" customHeight="1" x14ac:dyDescent="0.25">
      <c r="A233" s="1027" t="e">
        <f t="shared" si="96"/>
        <v>#REF!</v>
      </c>
      <c r="B233" s="171"/>
      <c r="C233" s="908"/>
      <c r="D233" s="908"/>
      <c r="E233" s="909"/>
      <c r="F233" s="910"/>
      <c r="G233" s="908"/>
      <c r="H233" s="909"/>
      <c r="I233" s="911"/>
      <c r="J233" s="910"/>
      <c r="K233" s="908"/>
      <c r="L233" s="909"/>
      <c r="M233" s="247"/>
    </row>
    <row r="234" spans="1:24" ht="11.25" customHeight="1" x14ac:dyDescent="0.25">
      <c r="A234" s="1027" t="str">
        <f t="shared" si="96"/>
        <v>6.3 - TECHNICAL SERVICES MANAGEMENT</v>
      </c>
      <c r="B234" s="171"/>
      <c r="C234" s="908"/>
      <c r="D234" s="908"/>
      <c r="E234" s="909"/>
      <c r="F234" s="910">
        <v>1600000</v>
      </c>
      <c r="G234" s="910">
        <v>1600000</v>
      </c>
      <c r="H234" s="910">
        <v>1600000</v>
      </c>
      <c r="I234" s="910">
        <v>1600000</v>
      </c>
      <c r="J234" s="910">
        <v>1517000</v>
      </c>
      <c r="K234" s="908">
        <v>1608020</v>
      </c>
      <c r="L234" s="909">
        <v>1704501.2</v>
      </c>
      <c r="M234" s="247"/>
    </row>
    <row r="235" spans="1:24" ht="11.25" customHeight="1" x14ac:dyDescent="0.25">
      <c r="A235" s="1027" t="e">
        <f t="shared" si="96"/>
        <v>#REF!</v>
      </c>
      <c r="B235" s="171"/>
      <c r="C235" s="908"/>
      <c r="D235" s="908"/>
      <c r="E235" s="909"/>
      <c r="F235" s="910"/>
      <c r="G235" s="908"/>
      <c r="H235" s="909"/>
      <c r="I235" s="911"/>
      <c r="J235" s="910"/>
      <c r="K235" s="908"/>
      <c r="L235" s="909"/>
      <c r="M235" s="247"/>
    </row>
    <row r="236" spans="1:24" ht="11.25" customHeight="1" x14ac:dyDescent="0.25">
      <c r="A236" s="1027" t="e">
        <f t="shared" si="96"/>
        <v>#REF!</v>
      </c>
      <c r="B236" s="171"/>
      <c r="C236" s="908"/>
      <c r="D236" s="908"/>
      <c r="E236" s="909"/>
      <c r="F236" s="910"/>
      <c r="G236" s="908"/>
      <c r="H236" s="909"/>
      <c r="I236" s="911"/>
      <c r="J236" s="910"/>
      <c r="K236" s="908"/>
      <c r="L236" s="909"/>
      <c r="M236" s="247"/>
    </row>
    <row r="237" spans="1:24" ht="11.25" customHeight="1" x14ac:dyDescent="0.25">
      <c r="A237" s="1027" t="str">
        <f t="shared" si="96"/>
        <v>6.4 - HOUSING &amp; BUILDING CONTROL</v>
      </c>
      <c r="B237" s="171"/>
      <c r="C237" s="908">
        <v>18149666</v>
      </c>
      <c r="D237" s="908">
        <v>30720000</v>
      </c>
      <c r="E237" s="909"/>
      <c r="F237" s="910"/>
      <c r="G237" s="908"/>
      <c r="H237" s="909"/>
      <c r="I237" s="911"/>
      <c r="J237" s="910"/>
      <c r="K237" s="908"/>
      <c r="L237" s="909"/>
      <c r="M237" s="247"/>
    </row>
    <row r="238" spans="1:24" ht="11.25" customHeight="1" x14ac:dyDescent="0.25">
      <c r="A238" s="1027" t="str">
        <f t="shared" si="96"/>
        <v>6.5 - ROADS &amp; STORMWATER</v>
      </c>
      <c r="B238" s="171"/>
      <c r="C238" s="908">
        <v>31720000</v>
      </c>
      <c r="D238" s="908">
        <v>1719629.1</v>
      </c>
      <c r="E238" s="909">
        <v>39807216</v>
      </c>
      <c r="F238" s="910">
        <v>62315000</v>
      </c>
      <c r="G238" s="908">
        <v>60355000</v>
      </c>
      <c r="H238" s="908">
        <v>60355000</v>
      </c>
      <c r="I238" s="908">
        <v>60355000</v>
      </c>
      <c r="J238" s="910">
        <v>49900000</v>
      </c>
      <c r="K238" s="908">
        <v>53240980</v>
      </c>
      <c r="L238" s="909">
        <v>57192698.799999997</v>
      </c>
      <c r="M238" s="247"/>
    </row>
    <row r="239" spans="1:24" ht="11.25" customHeight="1" x14ac:dyDescent="0.25">
      <c r="A239" s="1027" t="str">
        <f t="shared" si="96"/>
        <v>6.6 - FLEET MANAGEMENT</v>
      </c>
      <c r="B239" s="171"/>
      <c r="C239" s="908"/>
      <c r="D239" s="908"/>
      <c r="E239" s="909"/>
      <c r="F239" s="910"/>
      <c r="G239" s="908"/>
      <c r="H239" s="909"/>
      <c r="I239" s="911"/>
      <c r="J239" s="910"/>
      <c r="K239" s="908"/>
      <c r="L239" s="909"/>
      <c r="M239" s="247"/>
    </row>
    <row r="240" spans="1:24" ht="11.25" customHeight="1" x14ac:dyDescent="0.25">
      <c r="A240" s="1027" t="str">
        <f t="shared" ref="A240:A303" si="107">A71</f>
        <v>6.7 - SEWERAGE NETWORK</v>
      </c>
      <c r="B240" s="171"/>
      <c r="C240" s="908"/>
      <c r="D240" s="908"/>
      <c r="E240" s="909"/>
      <c r="F240" s="910"/>
      <c r="G240" s="908"/>
      <c r="H240" s="909"/>
      <c r="I240" s="911"/>
      <c r="J240" s="910"/>
      <c r="K240" s="908"/>
      <c r="L240" s="909"/>
      <c r="M240" s="247"/>
    </row>
    <row r="241" spans="1:24" ht="15" customHeight="1" x14ac:dyDescent="0.25">
      <c r="A241" s="1027" t="str">
        <f t="shared" si="107"/>
        <v xml:space="preserve">Vote 7 - </v>
      </c>
      <c r="B241" s="854"/>
      <c r="C241" s="849">
        <f t="shared" ref="C241:L241" si="108">SUM(C242:C251)</f>
        <v>0</v>
      </c>
      <c r="D241" s="849">
        <f t="shared" si="108"/>
        <v>0</v>
      </c>
      <c r="E241" s="850">
        <f t="shared" si="108"/>
        <v>0</v>
      </c>
      <c r="F241" s="851">
        <f t="shared" si="108"/>
        <v>0</v>
      </c>
      <c r="G241" s="849">
        <f t="shared" si="108"/>
        <v>0</v>
      </c>
      <c r="H241" s="850">
        <f t="shared" si="108"/>
        <v>0</v>
      </c>
      <c r="I241" s="852">
        <f t="shared" si="108"/>
        <v>0</v>
      </c>
      <c r="J241" s="851">
        <f t="shared" si="108"/>
        <v>0</v>
      </c>
      <c r="K241" s="849">
        <f t="shared" si="108"/>
        <v>0</v>
      </c>
      <c r="L241" s="850">
        <f t="shared" si="108"/>
        <v>0</v>
      </c>
      <c r="M241" s="247"/>
    </row>
    <row r="242" spans="1:24" ht="11.25" customHeight="1" x14ac:dyDescent="0.25">
      <c r="A242" s="1027">
        <f t="shared" si="107"/>
        <v>0</v>
      </c>
      <c r="B242" s="171"/>
      <c r="C242" s="908"/>
      <c r="D242" s="908"/>
      <c r="E242" s="909"/>
      <c r="F242" s="910"/>
      <c r="G242" s="908"/>
      <c r="H242" s="909"/>
      <c r="I242" s="911"/>
      <c r="J242" s="910"/>
      <c r="K242" s="908"/>
      <c r="L242" s="909"/>
      <c r="M242" s="247"/>
    </row>
    <row r="243" spans="1:24" ht="11.25" customHeight="1" x14ac:dyDescent="0.25">
      <c r="A243" s="1027">
        <f t="shared" si="107"/>
        <v>0</v>
      </c>
      <c r="B243" s="171"/>
      <c r="C243" s="908"/>
      <c r="D243" s="908"/>
      <c r="E243" s="909"/>
      <c r="F243" s="910"/>
      <c r="G243" s="908"/>
      <c r="H243" s="909"/>
      <c r="I243" s="911"/>
      <c r="J243" s="910"/>
      <c r="K243" s="908"/>
      <c r="L243" s="909"/>
      <c r="M243" s="247"/>
    </row>
    <row r="244" spans="1:24" ht="11.25" customHeight="1" x14ac:dyDescent="0.25">
      <c r="A244" s="1027">
        <f t="shared" si="107"/>
        <v>0</v>
      </c>
      <c r="B244" s="171"/>
      <c r="C244" s="908"/>
      <c r="D244" s="908"/>
      <c r="E244" s="909"/>
      <c r="F244" s="910"/>
      <c r="G244" s="908"/>
      <c r="H244" s="909"/>
      <c r="I244" s="911"/>
      <c r="J244" s="910"/>
      <c r="K244" s="908"/>
      <c r="L244" s="909"/>
      <c r="M244" s="247"/>
    </row>
    <row r="245" spans="1:24" ht="11.25" customHeight="1" x14ac:dyDescent="0.25">
      <c r="A245" s="1027" t="str">
        <f t="shared" si="107"/>
        <v>7.4 - HOUSING &amp; BUILDING CONTROL</v>
      </c>
      <c r="B245" s="171"/>
      <c r="C245" s="908"/>
      <c r="D245" s="908"/>
      <c r="E245" s="909"/>
      <c r="F245" s="910"/>
      <c r="G245" s="908"/>
      <c r="H245" s="909"/>
      <c r="I245" s="911"/>
      <c r="J245" s="910"/>
      <c r="K245" s="908"/>
      <c r="L245" s="909"/>
      <c r="M245" s="247"/>
    </row>
    <row r="246" spans="1:24" ht="11.25" customHeight="1" x14ac:dyDescent="0.25">
      <c r="A246" s="1027" t="str">
        <f t="shared" si="107"/>
        <v>7.5 - URBAN RENEWAL</v>
      </c>
      <c r="B246" s="171"/>
      <c r="C246" s="908"/>
      <c r="D246" s="908"/>
      <c r="E246" s="909"/>
      <c r="F246" s="910"/>
      <c r="G246" s="908"/>
      <c r="H246" s="909"/>
      <c r="I246" s="911"/>
      <c r="J246" s="910"/>
      <c r="K246" s="908"/>
      <c r="L246" s="909"/>
      <c r="M246" s="247"/>
    </row>
    <row r="247" spans="1:24" ht="11.25" customHeight="1" x14ac:dyDescent="0.25">
      <c r="A247" s="1027">
        <f t="shared" si="107"/>
        <v>0</v>
      </c>
      <c r="B247" s="171"/>
      <c r="C247" s="908"/>
      <c r="D247" s="908"/>
      <c r="E247" s="909"/>
      <c r="F247" s="910"/>
      <c r="G247" s="908"/>
      <c r="H247" s="909"/>
      <c r="I247" s="911"/>
      <c r="J247" s="910"/>
      <c r="K247" s="908"/>
      <c r="L247" s="909"/>
      <c r="M247" s="247"/>
    </row>
    <row r="248" spans="1:24" ht="11.25" customHeight="1" x14ac:dyDescent="0.25">
      <c r="A248" s="1027">
        <f t="shared" si="107"/>
        <v>0</v>
      </c>
      <c r="B248" s="171"/>
      <c r="C248" s="908"/>
      <c r="D248" s="908"/>
      <c r="E248" s="909"/>
      <c r="F248" s="910"/>
      <c r="G248" s="908"/>
      <c r="H248" s="909"/>
      <c r="I248" s="911"/>
      <c r="J248" s="910"/>
      <c r="K248" s="908"/>
      <c r="L248" s="909"/>
      <c r="M248" s="247"/>
    </row>
    <row r="249" spans="1:24" ht="11.25" customHeight="1" x14ac:dyDescent="0.25">
      <c r="A249" s="1027">
        <f t="shared" si="107"/>
        <v>0</v>
      </c>
      <c r="B249" s="171"/>
      <c r="C249" s="908"/>
      <c r="D249" s="908"/>
      <c r="E249" s="909"/>
      <c r="F249" s="910"/>
      <c r="G249" s="908"/>
      <c r="H249" s="909"/>
      <c r="I249" s="911"/>
      <c r="J249" s="910"/>
      <c r="K249" s="908"/>
      <c r="L249" s="909"/>
      <c r="M249" s="247"/>
    </row>
    <row r="250" spans="1:24" ht="11.25" customHeight="1" x14ac:dyDescent="0.25">
      <c r="A250" s="1027">
        <f t="shared" si="107"/>
        <v>0</v>
      </c>
      <c r="B250" s="171"/>
      <c r="C250" s="908"/>
      <c r="D250" s="908"/>
      <c r="E250" s="909"/>
      <c r="F250" s="910"/>
      <c r="G250" s="908"/>
      <c r="H250" s="909"/>
      <c r="I250" s="911"/>
      <c r="J250" s="910"/>
      <c r="K250" s="908"/>
      <c r="L250" s="909"/>
      <c r="M250" s="247"/>
    </row>
    <row r="251" spans="1:24" ht="11.25" customHeight="1" x14ac:dyDescent="0.25">
      <c r="A251" s="1027">
        <f t="shared" si="107"/>
        <v>0</v>
      </c>
      <c r="B251" s="171"/>
      <c r="C251" s="908"/>
      <c r="D251" s="908"/>
      <c r="E251" s="909"/>
      <c r="F251" s="910"/>
      <c r="G251" s="908"/>
      <c r="H251" s="909"/>
      <c r="I251" s="911"/>
      <c r="J251" s="910"/>
      <c r="K251" s="908"/>
      <c r="L251" s="909"/>
      <c r="M251" s="247"/>
    </row>
    <row r="252" spans="1:24" ht="15" customHeight="1" x14ac:dyDescent="0.25">
      <c r="A252" s="1027" t="str">
        <f t="shared" si="107"/>
        <v xml:space="preserve">Vote 8 - </v>
      </c>
      <c r="B252" s="171"/>
      <c r="C252" s="849">
        <f t="shared" ref="C252:L252" si="109">SUM(C253:C262)</f>
        <v>0</v>
      </c>
      <c r="D252" s="849">
        <f t="shared" si="109"/>
        <v>0</v>
      </c>
      <c r="E252" s="850">
        <f t="shared" si="109"/>
        <v>0</v>
      </c>
      <c r="F252" s="851">
        <f t="shared" si="109"/>
        <v>0</v>
      </c>
      <c r="G252" s="849">
        <f t="shared" si="109"/>
        <v>0</v>
      </c>
      <c r="H252" s="850">
        <f t="shared" si="109"/>
        <v>0</v>
      </c>
      <c r="I252" s="852">
        <f t="shared" si="109"/>
        <v>0</v>
      </c>
      <c r="J252" s="851">
        <f t="shared" si="109"/>
        <v>800000</v>
      </c>
      <c r="K252" s="849">
        <f t="shared" si="109"/>
        <v>848000</v>
      </c>
      <c r="L252" s="850">
        <f t="shared" si="109"/>
        <v>898880</v>
      </c>
      <c r="M252" s="247"/>
      <c r="V252" s="852">
        <f t="shared" ref="V252:X252" si="110">SUM(V253:V262)</f>
        <v>0</v>
      </c>
      <c r="W252" s="852">
        <f t="shared" si="110"/>
        <v>0</v>
      </c>
      <c r="X252" s="852">
        <f t="shared" si="110"/>
        <v>0</v>
      </c>
    </row>
    <row r="253" spans="1:24" x14ac:dyDescent="0.25">
      <c r="A253" s="1027">
        <f t="shared" si="107"/>
        <v>0</v>
      </c>
      <c r="B253" s="171"/>
      <c r="C253" s="908"/>
      <c r="D253" s="908"/>
      <c r="E253" s="911"/>
      <c r="F253" s="910"/>
      <c r="G253" s="908"/>
      <c r="H253" s="909"/>
      <c r="I253" s="911"/>
      <c r="J253" s="910"/>
      <c r="K253" s="908"/>
      <c r="L253" s="909"/>
      <c r="M253" s="247"/>
    </row>
    <row r="254" spans="1:24" x14ac:dyDescent="0.25">
      <c r="A254" s="1027">
        <f t="shared" si="107"/>
        <v>0</v>
      </c>
      <c r="B254" s="171"/>
      <c r="C254" s="908"/>
      <c r="D254" s="908"/>
      <c r="E254" s="911"/>
      <c r="F254" s="910"/>
      <c r="G254" s="908"/>
      <c r="H254" s="909"/>
      <c r="I254" s="911"/>
      <c r="J254" s="910">
        <v>800000</v>
      </c>
      <c r="K254" s="908">
        <v>848000</v>
      </c>
      <c r="L254" s="909">
        <v>898880</v>
      </c>
      <c r="M254" s="247"/>
    </row>
    <row r="255" spans="1:24" x14ac:dyDescent="0.25">
      <c r="A255" s="1027">
        <f t="shared" si="107"/>
        <v>0</v>
      </c>
      <c r="B255" s="171"/>
      <c r="C255" s="908"/>
      <c r="D255" s="908"/>
      <c r="E255" s="911"/>
      <c r="F255" s="910"/>
      <c r="G255" s="908"/>
      <c r="H255" s="909"/>
      <c r="I255" s="911"/>
      <c r="J255" s="910"/>
      <c r="K255" s="908"/>
      <c r="L255" s="909"/>
      <c r="M255" s="247"/>
    </row>
    <row r="256" spans="1:24" x14ac:dyDescent="0.25">
      <c r="A256" s="1027">
        <f t="shared" si="107"/>
        <v>0</v>
      </c>
      <c r="B256" s="171"/>
      <c r="C256" s="908"/>
      <c r="D256" s="908"/>
      <c r="E256" s="911"/>
      <c r="F256" s="910"/>
      <c r="G256" s="908"/>
      <c r="H256" s="909"/>
      <c r="I256" s="911"/>
      <c r="J256" s="910"/>
      <c r="K256" s="908"/>
      <c r="L256" s="909"/>
      <c r="M256" s="247"/>
    </row>
    <row r="257" spans="1:13" x14ac:dyDescent="0.25">
      <c r="A257" s="1027">
        <f t="shared" si="107"/>
        <v>0</v>
      </c>
      <c r="B257" s="171"/>
      <c r="C257" s="908"/>
      <c r="D257" s="908"/>
      <c r="E257" s="911"/>
      <c r="F257" s="910"/>
      <c r="G257" s="908"/>
      <c r="H257" s="909"/>
      <c r="I257" s="911"/>
      <c r="J257" s="910"/>
      <c r="K257" s="908"/>
      <c r="L257" s="909"/>
      <c r="M257" s="247"/>
    </row>
    <row r="258" spans="1:13" x14ac:dyDescent="0.25">
      <c r="A258" s="1027">
        <f t="shared" si="107"/>
        <v>0</v>
      </c>
      <c r="B258" s="171"/>
      <c r="C258" s="908"/>
      <c r="D258" s="908"/>
      <c r="E258" s="911"/>
      <c r="F258" s="910"/>
      <c r="G258" s="908"/>
      <c r="H258" s="909"/>
      <c r="I258" s="911"/>
      <c r="J258" s="910"/>
      <c r="K258" s="908"/>
      <c r="L258" s="909"/>
      <c r="M258" s="247"/>
    </row>
    <row r="259" spans="1:13" x14ac:dyDescent="0.25">
      <c r="A259" s="1027">
        <f t="shared" si="107"/>
        <v>0</v>
      </c>
      <c r="B259" s="171"/>
      <c r="C259" s="908"/>
      <c r="D259" s="908"/>
      <c r="E259" s="911"/>
      <c r="F259" s="910"/>
      <c r="G259" s="908"/>
      <c r="H259" s="909"/>
      <c r="I259" s="911"/>
      <c r="J259" s="910"/>
      <c r="K259" s="908"/>
      <c r="L259" s="909"/>
      <c r="M259" s="247"/>
    </row>
    <row r="260" spans="1:13" x14ac:dyDescent="0.25">
      <c r="A260" s="1027">
        <f t="shared" si="107"/>
        <v>0</v>
      </c>
      <c r="B260" s="171"/>
      <c r="C260" s="908"/>
      <c r="D260" s="908"/>
      <c r="E260" s="911"/>
      <c r="F260" s="910"/>
      <c r="G260" s="908"/>
      <c r="H260" s="909"/>
      <c r="I260" s="911"/>
      <c r="J260" s="910"/>
      <c r="K260" s="908"/>
      <c r="L260" s="909"/>
      <c r="M260" s="247"/>
    </row>
    <row r="261" spans="1:13" x14ac:dyDescent="0.25">
      <c r="A261" s="1027">
        <f t="shared" si="107"/>
        <v>0</v>
      </c>
      <c r="B261" s="171"/>
      <c r="C261" s="908"/>
      <c r="D261" s="908"/>
      <c r="E261" s="911"/>
      <c r="F261" s="910"/>
      <c r="G261" s="908"/>
      <c r="H261" s="909"/>
      <c r="I261" s="911"/>
      <c r="J261" s="910"/>
      <c r="K261" s="908"/>
      <c r="L261" s="909"/>
      <c r="M261" s="247"/>
    </row>
    <row r="262" spans="1:13" x14ac:dyDescent="0.25">
      <c r="A262" s="1027">
        <f t="shared" si="107"/>
        <v>0</v>
      </c>
      <c r="B262" s="171"/>
      <c r="C262" s="908"/>
      <c r="D262" s="908"/>
      <c r="E262" s="911"/>
      <c r="F262" s="910"/>
      <c r="G262" s="908"/>
      <c r="H262" s="909"/>
      <c r="I262" s="911"/>
      <c r="J262" s="910"/>
      <c r="K262" s="908"/>
      <c r="L262" s="909"/>
      <c r="M262" s="247"/>
    </row>
    <row r="263" spans="1:13" ht="15" customHeight="1" x14ac:dyDescent="0.25">
      <c r="A263" s="1027" t="str">
        <f t="shared" si="107"/>
        <v>Vote 9 - [NAME OF VOTE 9]</v>
      </c>
      <c r="B263" s="171"/>
      <c r="C263" s="849">
        <f t="shared" ref="C263:L263" si="111">SUM(C264:C273)</f>
        <v>0</v>
      </c>
      <c r="D263" s="849">
        <f t="shared" si="111"/>
        <v>0</v>
      </c>
      <c r="E263" s="850">
        <f t="shared" si="111"/>
        <v>0</v>
      </c>
      <c r="F263" s="851">
        <f t="shared" si="111"/>
        <v>0</v>
      </c>
      <c r="G263" s="849">
        <f t="shared" si="111"/>
        <v>0</v>
      </c>
      <c r="H263" s="850">
        <f t="shared" si="111"/>
        <v>0</v>
      </c>
      <c r="I263" s="852">
        <f t="shared" si="111"/>
        <v>0</v>
      </c>
      <c r="J263" s="851">
        <f t="shared" si="111"/>
        <v>0</v>
      </c>
      <c r="K263" s="849">
        <f t="shared" si="111"/>
        <v>0</v>
      </c>
      <c r="L263" s="850">
        <f t="shared" si="111"/>
        <v>0</v>
      </c>
      <c r="M263" s="247"/>
    </row>
    <row r="264" spans="1:13" x14ac:dyDescent="0.25">
      <c r="A264" s="1027" t="str">
        <f t="shared" si="107"/>
        <v>9.1 - [Name of sub-vote]</v>
      </c>
      <c r="B264" s="171"/>
      <c r="C264" s="908"/>
      <c r="D264" s="908"/>
      <c r="E264" s="911"/>
      <c r="F264" s="910"/>
      <c r="G264" s="908"/>
      <c r="H264" s="909"/>
      <c r="I264" s="911"/>
      <c r="J264" s="910"/>
      <c r="K264" s="908"/>
      <c r="L264" s="909"/>
      <c r="M264" s="247"/>
    </row>
    <row r="265" spans="1:13" x14ac:dyDescent="0.25">
      <c r="A265" s="1027">
        <f t="shared" si="107"/>
        <v>0</v>
      </c>
      <c r="B265" s="171"/>
      <c r="C265" s="908"/>
      <c r="D265" s="908"/>
      <c r="E265" s="911"/>
      <c r="F265" s="910"/>
      <c r="G265" s="908"/>
      <c r="H265" s="909"/>
      <c r="I265" s="911"/>
      <c r="J265" s="910"/>
      <c r="K265" s="908"/>
      <c r="L265" s="909"/>
      <c r="M265" s="247"/>
    </row>
    <row r="266" spans="1:13" x14ac:dyDescent="0.25">
      <c r="A266" s="1027">
        <f t="shared" si="107"/>
        <v>0</v>
      </c>
      <c r="B266" s="171"/>
      <c r="C266" s="908"/>
      <c r="D266" s="908"/>
      <c r="E266" s="911"/>
      <c r="F266" s="910"/>
      <c r="G266" s="908"/>
      <c r="H266" s="909"/>
      <c r="I266" s="911"/>
      <c r="J266" s="910"/>
      <c r="K266" s="908"/>
      <c r="L266" s="909"/>
      <c r="M266" s="247"/>
    </row>
    <row r="267" spans="1:13" x14ac:dyDescent="0.25">
      <c r="A267" s="1027">
        <f t="shared" si="107"/>
        <v>0</v>
      </c>
      <c r="B267" s="171"/>
      <c r="C267" s="908"/>
      <c r="D267" s="908"/>
      <c r="E267" s="911"/>
      <c r="F267" s="910"/>
      <c r="G267" s="908"/>
      <c r="H267" s="909"/>
      <c r="I267" s="911"/>
      <c r="J267" s="910"/>
      <c r="K267" s="908"/>
      <c r="L267" s="909"/>
      <c r="M267" s="247"/>
    </row>
    <row r="268" spans="1:13" x14ac:dyDescent="0.25">
      <c r="A268" s="1027">
        <f t="shared" si="107"/>
        <v>0</v>
      </c>
      <c r="B268" s="171"/>
      <c r="C268" s="908"/>
      <c r="D268" s="908"/>
      <c r="E268" s="911"/>
      <c r="F268" s="910"/>
      <c r="G268" s="908"/>
      <c r="H268" s="909"/>
      <c r="I268" s="911"/>
      <c r="J268" s="910"/>
      <c r="K268" s="908"/>
      <c r="L268" s="909"/>
      <c r="M268" s="247"/>
    </row>
    <row r="269" spans="1:13" x14ac:dyDescent="0.25">
      <c r="A269" s="1027">
        <f t="shared" si="107"/>
        <v>0</v>
      </c>
      <c r="B269" s="171"/>
      <c r="C269" s="908"/>
      <c r="D269" s="908"/>
      <c r="E269" s="911"/>
      <c r="F269" s="910"/>
      <c r="G269" s="908"/>
      <c r="H269" s="909"/>
      <c r="I269" s="911"/>
      <c r="J269" s="910"/>
      <c r="K269" s="908"/>
      <c r="L269" s="909"/>
      <c r="M269" s="247"/>
    </row>
    <row r="270" spans="1:13" x14ac:dyDescent="0.25">
      <c r="A270" s="1027">
        <f t="shared" si="107"/>
        <v>0</v>
      </c>
      <c r="B270" s="171"/>
      <c r="C270" s="908"/>
      <c r="D270" s="908"/>
      <c r="E270" s="911"/>
      <c r="F270" s="910"/>
      <c r="G270" s="908"/>
      <c r="H270" s="909"/>
      <c r="I270" s="911"/>
      <c r="J270" s="910"/>
      <c r="K270" s="908"/>
      <c r="L270" s="909"/>
      <c r="M270" s="247"/>
    </row>
    <row r="271" spans="1:13" x14ac:dyDescent="0.25">
      <c r="A271" s="1027">
        <f t="shared" si="107"/>
        <v>0</v>
      </c>
      <c r="B271" s="171"/>
      <c r="C271" s="908"/>
      <c r="D271" s="908"/>
      <c r="E271" s="911"/>
      <c r="F271" s="910"/>
      <c r="G271" s="908"/>
      <c r="H271" s="909"/>
      <c r="I271" s="911"/>
      <c r="J271" s="910"/>
      <c r="K271" s="908"/>
      <c r="L271" s="909"/>
      <c r="M271" s="247"/>
    </row>
    <row r="272" spans="1:13" x14ac:dyDescent="0.25">
      <c r="A272" s="1027">
        <f t="shared" si="107"/>
        <v>0</v>
      </c>
      <c r="B272" s="171"/>
      <c r="C272" s="908"/>
      <c r="D272" s="908"/>
      <c r="E272" s="911"/>
      <c r="F272" s="910"/>
      <c r="G272" s="908"/>
      <c r="H272" s="909"/>
      <c r="I272" s="911"/>
      <c r="J272" s="910"/>
      <c r="K272" s="908"/>
      <c r="L272" s="909"/>
      <c r="M272" s="247"/>
    </row>
    <row r="273" spans="1:13" x14ac:dyDescent="0.25">
      <c r="A273" s="1027">
        <f t="shared" si="107"/>
        <v>0</v>
      </c>
      <c r="B273" s="171"/>
      <c r="C273" s="908"/>
      <c r="D273" s="908"/>
      <c r="E273" s="911"/>
      <c r="F273" s="910"/>
      <c r="G273" s="908"/>
      <c r="H273" s="909"/>
      <c r="I273" s="911"/>
      <c r="J273" s="910"/>
      <c r="K273" s="908"/>
      <c r="L273" s="909"/>
      <c r="M273" s="247"/>
    </row>
    <row r="274" spans="1:13" ht="15" customHeight="1" x14ac:dyDescent="0.25">
      <c r="A274" s="1027" t="str">
        <f t="shared" si="107"/>
        <v>Vote 10 - [NAME OF VOTE 10]</v>
      </c>
      <c r="B274" s="171"/>
      <c r="C274" s="849">
        <f t="shared" ref="C274:L274" si="112">SUM(C275:C284)</f>
        <v>0</v>
      </c>
      <c r="D274" s="849">
        <f t="shared" si="112"/>
        <v>0</v>
      </c>
      <c r="E274" s="850">
        <f t="shared" si="112"/>
        <v>0</v>
      </c>
      <c r="F274" s="851">
        <f t="shared" si="112"/>
        <v>0</v>
      </c>
      <c r="G274" s="849">
        <f t="shared" si="112"/>
        <v>0</v>
      </c>
      <c r="H274" s="850">
        <f t="shared" si="112"/>
        <v>0</v>
      </c>
      <c r="I274" s="852">
        <f t="shared" si="112"/>
        <v>0</v>
      </c>
      <c r="J274" s="851">
        <f t="shared" si="112"/>
        <v>0</v>
      </c>
      <c r="K274" s="849">
        <f t="shared" si="112"/>
        <v>0</v>
      </c>
      <c r="L274" s="850">
        <f t="shared" si="112"/>
        <v>0</v>
      </c>
      <c r="M274" s="247"/>
    </row>
    <row r="275" spans="1:13" x14ac:dyDescent="0.25">
      <c r="A275" s="1027" t="str">
        <f t="shared" si="107"/>
        <v>10.1 - [Name of sub-vote]</v>
      </c>
      <c r="B275" s="171"/>
      <c r="C275" s="908"/>
      <c r="D275" s="908"/>
      <c r="E275" s="911"/>
      <c r="F275" s="910"/>
      <c r="G275" s="908"/>
      <c r="H275" s="909"/>
      <c r="I275" s="911"/>
      <c r="J275" s="910"/>
      <c r="K275" s="908"/>
      <c r="L275" s="909"/>
      <c r="M275" s="247"/>
    </row>
    <row r="276" spans="1:13" x14ac:dyDescent="0.25">
      <c r="A276" s="1027">
        <f t="shared" si="107"/>
        <v>0</v>
      </c>
      <c r="B276" s="171"/>
      <c r="C276" s="908"/>
      <c r="D276" s="908"/>
      <c r="E276" s="911"/>
      <c r="F276" s="910"/>
      <c r="G276" s="908"/>
      <c r="H276" s="909"/>
      <c r="I276" s="911"/>
      <c r="J276" s="910"/>
      <c r="K276" s="908"/>
      <c r="L276" s="909"/>
      <c r="M276" s="247"/>
    </row>
    <row r="277" spans="1:13" x14ac:dyDescent="0.25">
      <c r="A277" s="1027">
        <f t="shared" si="107"/>
        <v>0</v>
      </c>
      <c r="B277" s="171"/>
      <c r="C277" s="908"/>
      <c r="D277" s="908"/>
      <c r="E277" s="911"/>
      <c r="F277" s="910"/>
      <c r="G277" s="908"/>
      <c r="H277" s="909"/>
      <c r="I277" s="911"/>
      <c r="J277" s="910"/>
      <c r="K277" s="908"/>
      <c r="L277" s="909"/>
      <c r="M277" s="247"/>
    </row>
    <row r="278" spans="1:13" x14ac:dyDescent="0.25">
      <c r="A278" s="1027">
        <f t="shared" si="107"/>
        <v>0</v>
      </c>
      <c r="B278" s="171"/>
      <c r="C278" s="908"/>
      <c r="D278" s="908"/>
      <c r="E278" s="911"/>
      <c r="F278" s="910"/>
      <c r="G278" s="908"/>
      <c r="H278" s="909"/>
      <c r="I278" s="911"/>
      <c r="J278" s="910"/>
      <c r="K278" s="908"/>
      <c r="L278" s="909"/>
      <c r="M278" s="247"/>
    </row>
    <row r="279" spans="1:13" x14ac:dyDescent="0.25">
      <c r="A279" s="1027">
        <f t="shared" si="107"/>
        <v>0</v>
      </c>
      <c r="B279" s="171"/>
      <c r="C279" s="908"/>
      <c r="D279" s="908"/>
      <c r="E279" s="911"/>
      <c r="F279" s="910"/>
      <c r="G279" s="908"/>
      <c r="H279" s="909"/>
      <c r="I279" s="911"/>
      <c r="J279" s="910"/>
      <c r="K279" s="908"/>
      <c r="L279" s="909"/>
      <c r="M279" s="247"/>
    </row>
    <row r="280" spans="1:13" x14ac:dyDescent="0.25">
      <c r="A280" s="1027">
        <f t="shared" si="107"/>
        <v>0</v>
      </c>
      <c r="B280" s="171"/>
      <c r="C280" s="908"/>
      <c r="D280" s="908"/>
      <c r="E280" s="911"/>
      <c r="F280" s="910"/>
      <c r="G280" s="908"/>
      <c r="H280" s="909"/>
      <c r="I280" s="911"/>
      <c r="J280" s="910"/>
      <c r="K280" s="908"/>
      <c r="L280" s="909"/>
      <c r="M280" s="247"/>
    </row>
    <row r="281" spans="1:13" x14ac:dyDescent="0.25">
      <c r="A281" s="1027">
        <f t="shared" si="107"/>
        <v>0</v>
      </c>
      <c r="B281" s="171"/>
      <c r="C281" s="908"/>
      <c r="D281" s="908"/>
      <c r="E281" s="911"/>
      <c r="F281" s="910"/>
      <c r="G281" s="908"/>
      <c r="H281" s="909"/>
      <c r="I281" s="911"/>
      <c r="J281" s="910"/>
      <c r="K281" s="908"/>
      <c r="L281" s="909"/>
      <c r="M281" s="247"/>
    </row>
    <row r="282" spans="1:13" x14ac:dyDescent="0.25">
      <c r="A282" s="1027">
        <f t="shared" si="107"/>
        <v>0</v>
      </c>
      <c r="B282" s="171"/>
      <c r="C282" s="908"/>
      <c r="D282" s="908"/>
      <c r="E282" s="911"/>
      <c r="F282" s="910"/>
      <c r="G282" s="908"/>
      <c r="H282" s="909"/>
      <c r="I282" s="911"/>
      <c r="J282" s="910"/>
      <c r="K282" s="908"/>
      <c r="L282" s="909"/>
      <c r="M282" s="247"/>
    </row>
    <row r="283" spans="1:13" x14ac:dyDescent="0.25">
      <c r="A283" s="1027">
        <f t="shared" si="107"/>
        <v>0</v>
      </c>
      <c r="B283" s="171"/>
      <c r="C283" s="908"/>
      <c r="D283" s="908"/>
      <c r="E283" s="911"/>
      <c r="F283" s="910"/>
      <c r="G283" s="908"/>
      <c r="H283" s="909"/>
      <c r="I283" s="911"/>
      <c r="J283" s="910"/>
      <c r="K283" s="908"/>
      <c r="L283" s="909"/>
      <c r="M283" s="247"/>
    </row>
    <row r="284" spans="1:13" x14ac:dyDescent="0.25">
      <c r="A284" s="1027">
        <f t="shared" si="107"/>
        <v>0</v>
      </c>
      <c r="B284" s="171"/>
      <c r="C284" s="908"/>
      <c r="D284" s="908"/>
      <c r="E284" s="911"/>
      <c r="F284" s="910"/>
      <c r="G284" s="908"/>
      <c r="H284" s="909"/>
      <c r="I284" s="911"/>
      <c r="J284" s="910"/>
      <c r="K284" s="908"/>
      <c r="L284" s="909"/>
      <c r="M284" s="247"/>
    </row>
    <row r="285" spans="1:13" ht="15" customHeight="1" x14ac:dyDescent="0.25">
      <c r="A285" s="1027" t="str">
        <f t="shared" si="107"/>
        <v>Vote 11 - [NAME OF VOTE 11]</v>
      </c>
      <c r="B285" s="171"/>
      <c r="C285" s="849">
        <f t="shared" ref="C285:L285" si="113">SUM(C286:C295)</f>
        <v>0</v>
      </c>
      <c r="D285" s="849">
        <f t="shared" si="113"/>
        <v>0</v>
      </c>
      <c r="E285" s="850">
        <f t="shared" si="113"/>
        <v>0</v>
      </c>
      <c r="F285" s="851">
        <f t="shared" si="113"/>
        <v>0</v>
      </c>
      <c r="G285" s="849">
        <f t="shared" si="113"/>
        <v>0</v>
      </c>
      <c r="H285" s="850">
        <f t="shared" si="113"/>
        <v>0</v>
      </c>
      <c r="I285" s="852">
        <f t="shared" si="113"/>
        <v>0</v>
      </c>
      <c r="J285" s="851">
        <f t="shared" si="113"/>
        <v>0</v>
      </c>
      <c r="K285" s="849">
        <f t="shared" si="113"/>
        <v>0</v>
      </c>
      <c r="L285" s="850">
        <f t="shared" si="113"/>
        <v>0</v>
      </c>
      <c r="M285" s="247"/>
    </row>
    <row r="286" spans="1:13" x14ac:dyDescent="0.25">
      <c r="A286" s="1027" t="str">
        <f t="shared" si="107"/>
        <v>11.1 - [Name of sub-vote]</v>
      </c>
      <c r="B286" s="171"/>
      <c r="C286" s="908"/>
      <c r="D286" s="908"/>
      <c r="E286" s="911"/>
      <c r="F286" s="910"/>
      <c r="G286" s="908"/>
      <c r="H286" s="909"/>
      <c r="I286" s="911"/>
      <c r="J286" s="910"/>
      <c r="K286" s="908"/>
      <c r="L286" s="909"/>
      <c r="M286" s="247"/>
    </row>
    <row r="287" spans="1:13" x14ac:dyDescent="0.25">
      <c r="A287" s="1027">
        <f t="shared" si="107"/>
        <v>0</v>
      </c>
      <c r="B287" s="171"/>
      <c r="C287" s="908"/>
      <c r="D287" s="908"/>
      <c r="E287" s="911"/>
      <c r="F287" s="910"/>
      <c r="G287" s="908"/>
      <c r="H287" s="909"/>
      <c r="I287" s="911"/>
      <c r="J287" s="910"/>
      <c r="K287" s="908"/>
      <c r="L287" s="909"/>
      <c r="M287" s="247"/>
    </row>
    <row r="288" spans="1:13" x14ac:dyDescent="0.25">
      <c r="A288" s="1027">
        <f t="shared" si="107"/>
        <v>0</v>
      </c>
      <c r="B288" s="171"/>
      <c r="C288" s="908"/>
      <c r="D288" s="908"/>
      <c r="E288" s="911"/>
      <c r="F288" s="910"/>
      <c r="G288" s="908"/>
      <c r="H288" s="909"/>
      <c r="I288" s="911"/>
      <c r="J288" s="910"/>
      <c r="K288" s="908"/>
      <c r="L288" s="909"/>
      <c r="M288" s="247"/>
    </row>
    <row r="289" spans="1:13" x14ac:dyDescent="0.25">
      <c r="A289" s="1027">
        <f t="shared" si="107"/>
        <v>0</v>
      </c>
      <c r="B289" s="171"/>
      <c r="C289" s="908"/>
      <c r="D289" s="908"/>
      <c r="E289" s="911"/>
      <c r="F289" s="910"/>
      <c r="G289" s="908"/>
      <c r="H289" s="909"/>
      <c r="I289" s="911"/>
      <c r="J289" s="910"/>
      <c r="K289" s="908"/>
      <c r="L289" s="909"/>
      <c r="M289" s="247"/>
    </row>
    <row r="290" spans="1:13" x14ac:dyDescent="0.25">
      <c r="A290" s="1027">
        <f t="shared" si="107"/>
        <v>0</v>
      </c>
      <c r="B290" s="171"/>
      <c r="C290" s="908"/>
      <c r="D290" s="908"/>
      <c r="E290" s="911"/>
      <c r="F290" s="910"/>
      <c r="G290" s="908"/>
      <c r="H290" s="909"/>
      <c r="I290" s="911"/>
      <c r="J290" s="910"/>
      <c r="K290" s="908"/>
      <c r="L290" s="909"/>
      <c r="M290" s="247"/>
    </row>
    <row r="291" spans="1:13" x14ac:dyDescent="0.25">
      <c r="A291" s="1027">
        <f t="shared" si="107"/>
        <v>0</v>
      </c>
      <c r="B291" s="171"/>
      <c r="C291" s="908"/>
      <c r="D291" s="908"/>
      <c r="E291" s="911"/>
      <c r="F291" s="910"/>
      <c r="G291" s="908"/>
      <c r="H291" s="909"/>
      <c r="I291" s="911"/>
      <c r="J291" s="910"/>
      <c r="K291" s="908"/>
      <c r="L291" s="909"/>
      <c r="M291" s="247"/>
    </row>
    <row r="292" spans="1:13" x14ac:dyDescent="0.25">
      <c r="A292" s="1027">
        <f t="shared" si="107"/>
        <v>0</v>
      </c>
      <c r="B292" s="171"/>
      <c r="C292" s="908"/>
      <c r="D292" s="908"/>
      <c r="E292" s="911"/>
      <c r="F292" s="910"/>
      <c r="G292" s="908"/>
      <c r="H292" s="909"/>
      <c r="I292" s="911"/>
      <c r="J292" s="910"/>
      <c r="K292" s="908"/>
      <c r="L292" s="909"/>
      <c r="M292" s="247"/>
    </row>
    <row r="293" spans="1:13" x14ac:dyDescent="0.25">
      <c r="A293" s="1027">
        <f t="shared" si="107"/>
        <v>0</v>
      </c>
      <c r="B293" s="171"/>
      <c r="C293" s="908"/>
      <c r="D293" s="908"/>
      <c r="E293" s="911"/>
      <c r="F293" s="910"/>
      <c r="G293" s="908"/>
      <c r="H293" s="909"/>
      <c r="I293" s="911"/>
      <c r="J293" s="910"/>
      <c r="K293" s="908"/>
      <c r="L293" s="909"/>
      <c r="M293" s="247"/>
    </row>
    <row r="294" spans="1:13" x14ac:dyDescent="0.25">
      <c r="A294" s="1027">
        <f t="shared" si="107"/>
        <v>0</v>
      </c>
      <c r="B294" s="171"/>
      <c r="C294" s="908"/>
      <c r="D294" s="908"/>
      <c r="E294" s="911"/>
      <c r="F294" s="910"/>
      <c r="G294" s="908"/>
      <c r="H294" s="909"/>
      <c r="I294" s="911"/>
      <c r="J294" s="910"/>
      <c r="K294" s="908"/>
      <c r="L294" s="909"/>
      <c r="M294" s="247"/>
    </row>
    <row r="295" spans="1:13" x14ac:dyDescent="0.25">
      <c r="A295" s="1027">
        <f t="shared" si="107"/>
        <v>0</v>
      </c>
      <c r="B295" s="171"/>
      <c r="C295" s="908"/>
      <c r="D295" s="908"/>
      <c r="E295" s="911"/>
      <c r="F295" s="910"/>
      <c r="G295" s="908"/>
      <c r="H295" s="909"/>
      <c r="I295" s="911"/>
      <c r="J295" s="910"/>
      <c r="K295" s="908"/>
      <c r="L295" s="909"/>
      <c r="M295" s="247"/>
    </row>
    <row r="296" spans="1:13" ht="15" customHeight="1" x14ac:dyDescent="0.25">
      <c r="A296" s="1027" t="str">
        <f t="shared" si="107"/>
        <v>Vote 12 - [NAME OF VOTE 12]</v>
      </c>
      <c r="B296" s="171"/>
      <c r="C296" s="849">
        <f t="shared" ref="C296:L296" si="114">SUM(C297:C306)</f>
        <v>0</v>
      </c>
      <c r="D296" s="849">
        <f t="shared" si="114"/>
        <v>0</v>
      </c>
      <c r="E296" s="850">
        <f t="shared" si="114"/>
        <v>0</v>
      </c>
      <c r="F296" s="851">
        <f t="shared" si="114"/>
        <v>0</v>
      </c>
      <c r="G296" s="849">
        <f t="shared" si="114"/>
        <v>0</v>
      </c>
      <c r="H296" s="850">
        <f t="shared" si="114"/>
        <v>0</v>
      </c>
      <c r="I296" s="852">
        <f t="shared" si="114"/>
        <v>0</v>
      </c>
      <c r="J296" s="851">
        <f t="shared" si="114"/>
        <v>0</v>
      </c>
      <c r="K296" s="849">
        <f t="shared" si="114"/>
        <v>0</v>
      </c>
      <c r="L296" s="850">
        <f t="shared" si="114"/>
        <v>0</v>
      </c>
      <c r="M296" s="247"/>
    </row>
    <row r="297" spans="1:13" x14ac:dyDescent="0.25">
      <c r="A297" s="1027" t="str">
        <f t="shared" si="107"/>
        <v>12.1 - [Name of sub-vote]</v>
      </c>
      <c r="B297" s="171"/>
      <c r="C297" s="908"/>
      <c r="D297" s="908"/>
      <c r="E297" s="911"/>
      <c r="F297" s="910"/>
      <c r="G297" s="908"/>
      <c r="H297" s="909"/>
      <c r="I297" s="911"/>
      <c r="J297" s="910"/>
      <c r="K297" s="908"/>
      <c r="L297" s="909"/>
      <c r="M297" s="247"/>
    </row>
    <row r="298" spans="1:13" x14ac:dyDescent="0.25">
      <c r="A298" s="1027">
        <f t="shared" si="107"/>
        <v>0</v>
      </c>
      <c r="B298" s="171"/>
      <c r="C298" s="908"/>
      <c r="D298" s="908"/>
      <c r="E298" s="911"/>
      <c r="F298" s="910"/>
      <c r="G298" s="908"/>
      <c r="H298" s="909"/>
      <c r="I298" s="911"/>
      <c r="J298" s="910"/>
      <c r="K298" s="908"/>
      <c r="L298" s="909"/>
      <c r="M298" s="247"/>
    </row>
    <row r="299" spans="1:13" x14ac:dyDescent="0.25">
      <c r="A299" s="1027">
        <f t="shared" si="107"/>
        <v>0</v>
      </c>
      <c r="B299" s="171"/>
      <c r="C299" s="908"/>
      <c r="D299" s="908"/>
      <c r="E299" s="911"/>
      <c r="F299" s="910"/>
      <c r="G299" s="908"/>
      <c r="H299" s="909"/>
      <c r="I299" s="911"/>
      <c r="J299" s="910"/>
      <c r="K299" s="908"/>
      <c r="L299" s="909"/>
      <c r="M299" s="247"/>
    </row>
    <row r="300" spans="1:13" x14ac:dyDescent="0.25">
      <c r="A300" s="1027">
        <f t="shared" si="107"/>
        <v>0</v>
      </c>
      <c r="B300" s="171"/>
      <c r="C300" s="908"/>
      <c r="D300" s="908"/>
      <c r="E300" s="911"/>
      <c r="F300" s="910"/>
      <c r="G300" s="908"/>
      <c r="H300" s="909"/>
      <c r="I300" s="911"/>
      <c r="J300" s="910"/>
      <c r="K300" s="908"/>
      <c r="L300" s="909"/>
      <c r="M300" s="247"/>
    </row>
    <row r="301" spans="1:13" x14ac:dyDescent="0.25">
      <c r="A301" s="1027">
        <f t="shared" si="107"/>
        <v>0</v>
      </c>
      <c r="B301" s="171"/>
      <c r="C301" s="908"/>
      <c r="D301" s="908"/>
      <c r="E301" s="911"/>
      <c r="F301" s="910"/>
      <c r="G301" s="908"/>
      <c r="H301" s="909"/>
      <c r="I301" s="911"/>
      <c r="J301" s="910"/>
      <c r="K301" s="908"/>
      <c r="L301" s="909"/>
      <c r="M301" s="247"/>
    </row>
    <row r="302" spans="1:13" x14ac:dyDescent="0.25">
      <c r="A302" s="1027">
        <f t="shared" si="107"/>
        <v>0</v>
      </c>
      <c r="B302" s="171"/>
      <c r="C302" s="908"/>
      <c r="D302" s="908"/>
      <c r="E302" s="911"/>
      <c r="F302" s="910"/>
      <c r="G302" s="908"/>
      <c r="H302" s="909"/>
      <c r="I302" s="911"/>
      <c r="J302" s="910"/>
      <c r="K302" s="908"/>
      <c r="L302" s="909"/>
      <c r="M302" s="247"/>
    </row>
    <row r="303" spans="1:13" x14ac:dyDescent="0.25">
      <c r="A303" s="1027">
        <f t="shared" si="107"/>
        <v>0</v>
      </c>
      <c r="B303" s="171"/>
      <c r="C303" s="908"/>
      <c r="D303" s="908"/>
      <c r="E303" s="911"/>
      <c r="F303" s="910"/>
      <c r="G303" s="908"/>
      <c r="H303" s="909"/>
      <c r="I303" s="911"/>
      <c r="J303" s="910"/>
      <c r="K303" s="908"/>
      <c r="L303" s="909"/>
      <c r="M303" s="247"/>
    </row>
    <row r="304" spans="1:13" x14ac:dyDescent="0.25">
      <c r="A304" s="1027">
        <f t="shared" ref="A304:A339" si="115">A135</f>
        <v>0</v>
      </c>
      <c r="B304" s="171"/>
      <c r="C304" s="908"/>
      <c r="D304" s="908"/>
      <c r="E304" s="911"/>
      <c r="F304" s="910"/>
      <c r="G304" s="908"/>
      <c r="H304" s="909"/>
      <c r="I304" s="911"/>
      <c r="J304" s="910"/>
      <c r="K304" s="908"/>
      <c r="L304" s="909"/>
      <c r="M304" s="247"/>
    </row>
    <row r="305" spans="1:13" x14ac:dyDescent="0.25">
      <c r="A305" s="1027">
        <f t="shared" si="115"/>
        <v>0</v>
      </c>
      <c r="B305" s="171"/>
      <c r="C305" s="908"/>
      <c r="D305" s="908"/>
      <c r="E305" s="911"/>
      <c r="F305" s="910"/>
      <c r="G305" s="908"/>
      <c r="H305" s="909"/>
      <c r="I305" s="911"/>
      <c r="J305" s="910"/>
      <c r="K305" s="908"/>
      <c r="L305" s="909"/>
      <c r="M305" s="247"/>
    </row>
    <row r="306" spans="1:13" x14ac:dyDescent="0.25">
      <c r="A306" s="1027">
        <f t="shared" si="115"/>
        <v>0</v>
      </c>
      <c r="B306" s="171"/>
      <c r="C306" s="908"/>
      <c r="D306" s="908"/>
      <c r="E306" s="911"/>
      <c r="F306" s="910"/>
      <c r="G306" s="908"/>
      <c r="H306" s="909"/>
      <c r="I306" s="911"/>
      <c r="J306" s="910"/>
      <c r="K306" s="908"/>
      <c r="L306" s="909"/>
      <c r="M306" s="247"/>
    </row>
    <row r="307" spans="1:13" ht="15" customHeight="1" x14ac:dyDescent="0.25">
      <c r="A307" s="1027" t="str">
        <f t="shared" si="115"/>
        <v>Vote 13 - [NAME OF VOTE 13]</v>
      </c>
      <c r="B307" s="171"/>
      <c r="C307" s="849">
        <f t="shared" ref="C307:L307" si="116">SUM(C308:C317)</f>
        <v>0</v>
      </c>
      <c r="D307" s="849">
        <f t="shared" si="116"/>
        <v>0</v>
      </c>
      <c r="E307" s="850">
        <f t="shared" si="116"/>
        <v>0</v>
      </c>
      <c r="F307" s="851">
        <f t="shared" si="116"/>
        <v>0</v>
      </c>
      <c r="G307" s="849">
        <f t="shared" si="116"/>
        <v>0</v>
      </c>
      <c r="H307" s="850">
        <f t="shared" si="116"/>
        <v>0</v>
      </c>
      <c r="I307" s="852">
        <f t="shared" si="116"/>
        <v>0</v>
      </c>
      <c r="J307" s="851">
        <f t="shared" si="116"/>
        <v>0</v>
      </c>
      <c r="K307" s="849">
        <f t="shared" si="116"/>
        <v>0</v>
      </c>
      <c r="L307" s="850">
        <f t="shared" si="116"/>
        <v>0</v>
      </c>
      <c r="M307" s="247"/>
    </row>
    <row r="308" spans="1:13" x14ac:dyDescent="0.25">
      <c r="A308" s="1027" t="str">
        <f t="shared" si="115"/>
        <v>13.1 - [Name of sub-vote]</v>
      </c>
      <c r="B308" s="171"/>
      <c r="C308" s="908"/>
      <c r="D308" s="908"/>
      <c r="E308" s="911"/>
      <c r="F308" s="910"/>
      <c r="G308" s="908"/>
      <c r="H308" s="909"/>
      <c r="I308" s="911"/>
      <c r="J308" s="910"/>
      <c r="K308" s="908"/>
      <c r="L308" s="909"/>
      <c r="M308" s="247"/>
    </row>
    <row r="309" spans="1:13" x14ac:dyDescent="0.25">
      <c r="A309" s="1027">
        <f t="shared" si="115"/>
        <v>0</v>
      </c>
      <c r="B309" s="171"/>
      <c r="C309" s="908"/>
      <c r="D309" s="908"/>
      <c r="E309" s="911"/>
      <c r="F309" s="910"/>
      <c r="G309" s="908"/>
      <c r="H309" s="909"/>
      <c r="I309" s="911"/>
      <c r="J309" s="910"/>
      <c r="K309" s="908"/>
      <c r="L309" s="909"/>
      <c r="M309" s="247"/>
    </row>
    <row r="310" spans="1:13" x14ac:dyDescent="0.25">
      <c r="A310" s="1027">
        <f t="shared" si="115"/>
        <v>0</v>
      </c>
      <c r="B310" s="171"/>
      <c r="C310" s="908"/>
      <c r="D310" s="908"/>
      <c r="E310" s="911"/>
      <c r="F310" s="910"/>
      <c r="G310" s="908"/>
      <c r="H310" s="909"/>
      <c r="I310" s="911"/>
      <c r="J310" s="910"/>
      <c r="K310" s="908"/>
      <c r="L310" s="909"/>
      <c r="M310" s="247"/>
    </row>
    <row r="311" spans="1:13" x14ac:dyDescent="0.25">
      <c r="A311" s="1027">
        <f t="shared" si="115"/>
        <v>0</v>
      </c>
      <c r="B311" s="171"/>
      <c r="C311" s="908"/>
      <c r="D311" s="908"/>
      <c r="E311" s="911"/>
      <c r="F311" s="910"/>
      <c r="G311" s="908"/>
      <c r="H311" s="909"/>
      <c r="I311" s="911"/>
      <c r="J311" s="910"/>
      <c r="K311" s="908"/>
      <c r="L311" s="909"/>
      <c r="M311" s="247"/>
    </row>
    <row r="312" spans="1:13" x14ac:dyDescent="0.25">
      <c r="A312" s="1027">
        <f t="shared" si="115"/>
        <v>0</v>
      </c>
      <c r="B312" s="171"/>
      <c r="C312" s="908"/>
      <c r="D312" s="908"/>
      <c r="E312" s="911"/>
      <c r="F312" s="910"/>
      <c r="G312" s="908"/>
      <c r="H312" s="909"/>
      <c r="I312" s="911"/>
      <c r="J312" s="910"/>
      <c r="K312" s="908"/>
      <c r="L312" s="909"/>
      <c r="M312" s="247"/>
    </row>
    <row r="313" spans="1:13" x14ac:dyDescent="0.25">
      <c r="A313" s="1027">
        <f t="shared" si="115"/>
        <v>0</v>
      </c>
      <c r="B313" s="171"/>
      <c r="C313" s="908"/>
      <c r="D313" s="908"/>
      <c r="E313" s="911"/>
      <c r="F313" s="910"/>
      <c r="G313" s="908"/>
      <c r="H313" s="909"/>
      <c r="I313" s="911"/>
      <c r="J313" s="910"/>
      <c r="K313" s="908"/>
      <c r="L313" s="909"/>
      <c r="M313" s="247"/>
    </row>
    <row r="314" spans="1:13" x14ac:dyDescent="0.25">
      <c r="A314" s="1027">
        <f t="shared" si="115"/>
        <v>0</v>
      </c>
      <c r="B314" s="171"/>
      <c r="C314" s="908"/>
      <c r="D314" s="908"/>
      <c r="E314" s="911"/>
      <c r="F314" s="910"/>
      <c r="G314" s="908"/>
      <c r="H314" s="909"/>
      <c r="I314" s="911"/>
      <c r="J314" s="910"/>
      <c r="K314" s="908"/>
      <c r="L314" s="909"/>
      <c r="M314" s="247"/>
    </row>
    <row r="315" spans="1:13" x14ac:dyDescent="0.25">
      <c r="A315" s="1027">
        <f t="shared" si="115"/>
        <v>0</v>
      </c>
      <c r="B315" s="171"/>
      <c r="C315" s="908"/>
      <c r="D315" s="908"/>
      <c r="E315" s="911"/>
      <c r="F315" s="910"/>
      <c r="G315" s="908"/>
      <c r="H315" s="909"/>
      <c r="I315" s="911"/>
      <c r="J315" s="910"/>
      <c r="K315" s="908"/>
      <c r="L315" s="909"/>
      <c r="M315" s="247"/>
    </row>
    <row r="316" spans="1:13" x14ac:dyDescent="0.25">
      <c r="A316" s="1027">
        <f t="shared" si="115"/>
        <v>0</v>
      </c>
      <c r="B316" s="171"/>
      <c r="C316" s="908"/>
      <c r="D316" s="908"/>
      <c r="E316" s="911"/>
      <c r="F316" s="910"/>
      <c r="G316" s="908"/>
      <c r="H316" s="909"/>
      <c r="I316" s="911"/>
      <c r="J316" s="910"/>
      <c r="K316" s="908"/>
      <c r="L316" s="909"/>
      <c r="M316" s="247"/>
    </row>
    <row r="317" spans="1:13" x14ac:dyDescent="0.25">
      <c r="A317" s="1027">
        <f t="shared" si="115"/>
        <v>0</v>
      </c>
      <c r="B317" s="171"/>
      <c r="C317" s="908"/>
      <c r="D317" s="908"/>
      <c r="E317" s="911"/>
      <c r="F317" s="910"/>
      <c r="G317" s="908"/>
      <c r="H317" s="909"/>
      <c r="I317" s="911"/>
      <c r="J317" s="910"/>
      <c r="K317" s="908"/>
      <c r="L317" s="909"/>
      <c r="M317" s="247"/>
    </row>
    <row r="318" spans="1:13" ht="15" customHeight="1" x14ac:dyDescent="0.25">
      <c r="A318" s="1027" t="str">
        <f t="shared" si="115"/>
        <v>Vote 14 - [NAME OF VOTE 14]</v>
      </c>
      <c r="B318" s="171"/>
      <c r="C318" s="849">
        <f t="shared" ref="C318:L318" si="117">SUM(C319:C328)</f>
        <v>0</v>
      </c>
      <c r="D318" s="849">
        <f t="shared" si="117"/>
        <v>0</v>
      </c>
      <c r="E318" s="850">
        <f t="shared" si="117"/>
        <v>0</v>
      </c>
      <c r="F318" s="851">
        <f t="shared" si="117"/>
        <v>0</v>
      </c>
      <c r="G318" s="849">
        <f t="shared" si="117"/>
        <v>0</v>
      </c>
      <c r="H318" s="850">
        <f t="shared" si="117"/>
        <v>0</v>
      </c>
      <c r="I318" s="852">
        <f t="shared" si="117"/>
        <v>0</v>
      </c>
      <c r="J318" s="851">
        <f t="shared" si="117"/>
        <v>0</v>
      </c>
      <c r="K318" s="849">
        <f t="shared" si="117"/>
        <v>0</v>
      </c>
      <c r="L318" s="850">
        <f t="shared" si="117"/>
        <v>0</v>
      </c>
      <c r="M318" s="247"/>
    </row>
    <row r="319" spans="1:13" x14ac:dyDescent="0.25">
      <c r="A319" s="1027" t="str">
        <f t="shared" si="115"/>
        <v>14.1 - [Name of sub-vote]</v>
      </c>
      <c r="B319" s="171"/>
      <c r="C319" s="908"/>
      <c r="D319" s="908"/>
      <c r="E319" s="911"/>
      <c r="F319" s="910"/>
      <c r="G319" s="908"/>
      <c r="H319" s="909"/>
      <c r="I319" s="911"/>
      <c r="J319" s="910"/>
      <c r="K319" s="908"/>
      <c r="L319" s="909"/>
      <c r="M319" s="247"/>
    </row>
    <row r="320" spans="1:13" x14ac:dyDescent="0.25">
      <c r="A320" s="1027">
        <f t="shared" si="115"/>
        <v>0</v>
      </c>
      <c r="B320" s="171"/>
      <c r="C320" s="908"/>
      <c r="D320" s="908"/>
      <c r="E320" s="911"/>
      <c r="F320" s="910"/>
      <c r="G320" s="908"/>
      <c r="H320" s="909"/>
      <c r="I320" s="911"/>
      <c r="J320" s="910"/>
      <c r="K320" s="908"/>
      <c r="L320" s="909"/>
      <c r="M320" s="247"/>
    </row>
    <row r="321" spans="1:13" x14ac:dyDescent="0.25">
      <c r="A321" s="1027">
        <f t="shared" si="115"/>
        <v>0</v>
      </c>
      <c r="B321" s="171"/>
      <c r="C321" s="908"/>
      <c r="D321" s="908"/>
      <c r="E321" s="911"/>
      <c r="F321" s="910"/>
      <c r="G321" s="908"/>
      <c r="H321" s="909"/>
      <c r="I321" s="911"/>
      <c r="J321" s="910"/>
      <c r="K321" s="908"/>
      <c r="L321" s="909"/>
      <c r="M321" s="247"/>
    </row>
    <row r="322" spans="1:13" x14ac:dyDescent="0.25">
      <c r="A322" s="1027">
        <f t="shared" si="115"/>
        <v>0</v>
      </c>
      <c r="B322" s="171"/>
      <c r="C322" s="908"/>
      <c r="D322" s="908"/>
      <c r="E322" s="911"/>
      <c r="F322" s="910"/>
      <c r="G322" s="908"/>
      <c r="H322" s="909"/>
      <c r="I322" s="911"/>
      <c r="J322" s="910"/>
      <c r="K322" s="908"/>
      <c r="L322" s="909"/>
      <c r="M322" s="247"/>
    </row>
    <row r="323" spans="1:13" x14ac:dyDescent="0.25">
      <c r="A323" s="1027">
        <f t="shared" si="115"/>
        <v>0</v>
      </c>
      <c r="B323" s="171"/>
      <c r="C323" s="908"/>
      <c r="D323" s="908"/>
      <c r="E323" s="911"/>
      <c r="F323" s="910"/>
      <c r="G323" s="908"/>
      <c r="H323" s="909"/>
      <c r="I323" s="911"/>
      <c r="J323" s="910"/>
      <c r="K323" s="908"/>
      <c r="L323" s="909"/>
      <c r="M323" s="247"/>
    </row>
    <row r="324" spans="1:13" x14ac:dyDescent="0.25">
      <c r="A324" s="1027">
        <f t="shared" si="115"/>
        <v>0</v>
      </c>
      <c r="B324" s="171"/>
      <c r="C324" s="908"/>
      <c r="D324" s="908"/>
      <c r="E324" s="911"/>
      <c r="F324" s="910"/>
      <c r="G324" s="908"/>
      <c r="H324" s="909"/>
      <c r="I324" s="911"/>
      <c r="J324" s="910"/>
      <c r="K324" s="908"/>
      <c r="L324" s="909"/>
      <c r="M324" s="247"/>
    </row>
    <row r="325" spans="1:13" x14ac:dyDescent="0.25">
      <c r="A325" s="1027">
        <f t="shared" si="115"/>
        <v>0</v>
      </c>
      <c r="B325" s="171"/>
      <c r="C325" s="908"/>
      <c r="D325" s="908"/>
      <c r="E325" s="911"/>
      <c r="F325" s="910"/>
      <c r="G325" s="908"/>
      <c r="H325" s="909"/>
      <c r="I325" s="911"/>
      <c r="J325" s="910"/>
      <c r="K325" s="908"/>
      <c r="L325" s="909"/>
      <c r="M325" s="247"/>
    </row>
    <row r="326" spans="1:13" x14ac:dyDescent="0.25">
      <c r="A326" s="1027">
        <f t="shared" si="115"/>
        <v>0</v>
      </c>
      <c r="B326" s="171"/>
      <c r="C326" s="908"/>
      <c r="D326" s="908"/>
      <c r="E326" s="911"/>
      <c r="F326" s="910"/>
      <c r="G326" s="908"/>
      <c r="H326" s="909"/>
      <c r="I326" s="911"/>
      <c r="J326" s="910"/>
      <c r="K326" s="908"/>
      <c r="L326" s="909"/>
      <c r="M326" s="247"/>
    </row>
    <row r="327" spans="1:13" x14ac:dyDescent="0.25">
      <c r="A327" s="1027">
        <f t="shared" si="115"/>
        <v>0</v>
      </c>
      <c r="B327" s="171"/>
      <c r="C327" s="908"/>
      <c r="D327" s="908"/>
      <c r="E327" s="911"/>
      <c r="F327" s="910"/>
      <c r="G327" s="908"/>
      <c r="H327" s="909"/>
      <c r="I327" s="911"/>
      <c r="J327" s="910"/>
      <c r="K327" s="908"/>
      <c r="L327" s="909"/>
      <c r="M327" s="247"/>
    </row>
    <row r="328" spans="1:13" x14ac:dyDescent="0.25">
      <c r="A328" s="1027">
        <f t="shared" si="115"/>
        <v>0</v>
      </c>
      <c r="B328" s="171"/>
      <c r="C328" s="908"/>
      <c r="D328" s="908"/>
      <c r="E328" s="911"/>
      <c r="F328" s="910"/>
      <c r="G328" s="908"/>
      <c r="H328" s="909"/>
      <c r="I328" s="911"/>
      <c r="J328" s="910"/>
      <c r="K328" s="908"/>
      <c r="L328" s="909"/>
      <c r="M328" s="247"/>
    </row>
    <row r="329" spans="1:13" ht="15" customHeight="1" x14ac:dyDescent="0.25">
      <c r="A329" s="1027" t="str">
        <f t="shared" si="115"/>
        <v>Vote 15 - [NAME OF VOTE 15]</v>
      </c>
      <c r="B329" s="171"/>
      <c r="C329" s="849">
        <f t="shared" ref="C329:L329" si="118">SUM(C330:C339)</f>
        <v>0</v>
      </c>
      <c r="D329" s="849">
        <f t="shared" si="118"/>
        <v>0</v>
      </c>
      <c r="E329" s="850">
        <f t="shared" si="118"/>
        <v>0</v>
      </c>
      <c r="F329" s="851">
        <f t="shared" si="118"/>
        <v>0</v>
      </c>
      <c r="G329" s="849">
        <f t="shared" si="118"/>
        <v>0</v>
      </c>
      <c r="H329" s="850">
        <f t="shared" si="118"/>
        <v>0</v>
      </c>
      <c r="I329" s="852">
        <f t="shared" si="118"/>
        <v>0</v>
      </c>
      <c r="J329" s="851">
        <f t="shared" si="118"/>
        <v>0</v>
      </c>
      <c r="K329" s="849">
        <f t="shared" si="118"/>
        <v>0</v>
      </c>
      <c r="L329" s="850">
        <f t="shared" si="118"/>
        <v>0</v>
      </c>
      <c r="M329" s="247"/>
    </row>
    <row r="330" spans="1:13" x14ac:dyDescent="0.25">
      <c r="A330" s="1027" t="str">
        <f t="shared" si="115"/>
        <v>15.1 - [Name of sub-vote]</v>
      </c>
      <c r="B330" s="171"/>
      <c r="C330" s="908"/>
      <c r="D330" s="908"/>
      <c r="E330" s="911"/>
      <c r="F330" s="910"/>
      <c r="G330" s="908"/>
      <c r="H330" s="909"/>
      <c r="I330" s="911"/>
      <c r="J330" s="910"/>
      <c r="K330" s="908"/>
      <c r="L330" s="909"/>
      <c r="M330" s="247"/>
    </row>
    <row r="331" spans="1:13" x14ac:dyDescent="0.25">
      <c r="A331" s="1027">
        <f t="shared" si="115"/>
        <v>0</v>
      </c>
      <c r="B331" s="171"/>
      <c r="C331" s="908"/>
      <c r="D331" s="908"/>
      <c r="E331" s="911"/>
      <c r="F331" s="910"/>
      <c r="G331" s="908"/>
      <c r="H331" s="909"/>
      <c r="I331" s="911"/>
      <c r="J331" s="910"/>
      <c r="K331" s="908"/>
      <c r="L331" s="909"/>
      <c r="M331" s="247"/>
    </row>
    <row r="332" spans="1:13" x14ac:dyDescent="0.25">
      <c r="A332" s="1027">
        <f t="shared" si="115"/>
        <v>0</v>
      </c>
      <c r="B332" s="171"/>
      <c r="C332" s="908"/>
      <c r="D332" s="908"/>
      <c r="E332" s="911"/>
      <c r="F332" s="910"/>
      <c r="G332" s="908"/>
      <c r="H332" s="909"/>
      <c r="I332" s="911"/>
      <c r="J332" s="910"/>
      <c r="K332" s="908"/>
      <c r="L332" s="909"/>
      <c r="M332" s="247"/>
    </row>
    <row r="333" spans="1:13" x14ac:dyDescent="0.25">
      <c r="A333" s="1027">
        <f t="shared" si="115"/>
        <v>0</v>
      </c>
      <c r="B333" s="171"/>
      <c r="C333" s="908"/>
      <c r="D333" s="908"/>
      <c r="E333" s="911"/>
      <c r="F333" s="910"/>
      <c r="G333" s="908"/>
      <c r="H333" s="909"/>
      <c r="I333" s="911"/>
      <c r="J333" s="910"/>
      <c r="K333" s="908"/>
      <c r="L333" s="909"/>
      <c r="M333" s="247"/>
    </row>
    <row r="334" spans="1:13" x14ac:dyDescent="0.25">
      <c r="A334" s="1027">
        <f t="shared" si="115"/>
        <v>0</v>
      </c>
      <c r="B334" s="171"/>
      <c r="C334" s="908"/>
      <c r="D334" s="908"/>
      <c r="E334" s="911"/>
      <c r="F334" s="910"/>
      <c r="G334" s="908"/>
      <c r="H334" s="909"/>
      <c r="I334" s="911"/>
      <c r="J334" s="910"/>
      <c r="K334" s="908"/>
      <c r="L334" s="909"/>
      <c r="M334" s="247"/>
    </row>
    <row r="335" spans="1:13" x14ac:dyDescent="0.25">
      <c r="A335" s="1027">
        <f t="shared" si="115"/>
        <v>0</v>
      </c>
      <c r="B335" s="171"/>
      <c r="C335" s="908"/>
      <c r="D335" s="908"/>
      <c r="E335" s="911"/>
      <c r="F335" s="910"/>
      <c r="G335" s="908"/>
      <c r="H335" s="909"/>
      <c r="I335" s="911"/>
      <c r="J335" s="910"/>
      <c r="K335" s="908"/>
      <c r="L335" s="909"/>
      <c r="M335" s="247"/>
    </row>
    <row r="336" spans="1:13" x14ac:dyDescent="0.25">
      <c r="A336" s="1027">
        <f t="shared" si="115"/>
        <v>0</v>
      </c>
      <c r="B336" s="171"/>
      <c r="C336" s="908"/>
      <c r="D336" s="908"/>
      <c r="E336" s="911"/>
      <c r="F336" s="910"/>
      <c r="G336" s="908"/>
      <c r="H336" s="909"/>
      <c r="I336" s="911"/>
      <c r="J336" s="910"/>
      <c r="K336" s="908"/>
      <c r="L336" s="909"/>
      <c r="M336" s="247"/>
    </row>
    <row r="337" spans="1:24" x14ac:dyDescent="0.25">
      <c r="A337" s="1027">
        <f t="shared" si="115"/>
        <v>0</v>
      </c>
      <c r="B337" s="171"/>
      <c r="C337" s="908"/>
      <c r="D337" s="908"/>
      <c r="E337" s="911"/>
      <c r="F337" s="910"/>
      <c r="G337" s="908"/>
      <c r="H337" s="909"/>
      <c r="I337" s="911"/>
      <c r="J337" s="910"/>
      <c r="K337" s="908"/>
      <c r="L337" s="909"/>
      <c r="M337" s="247"/>
    </row>
    <row r="338" spans="1:24" x14ac:dyDescent="0.25">
      <c r="A338" s="1027">
        <f t="shared" si="115"/>
        <v>0</v>
      </c>
      <c r="B338" s="171"/>
      <c r="C338" s="908"/>
      <c r="D338" s="908"/>
      <c r="E338" s="911"/>
      <c r="F338" s="910"/>
      <c r="G338" s="908"/>
      <c r="H338" s="909"/>
      <c r="I338" s="911"/>
      <c r="J338" s="910"/>
      <c r="K338" s="908"/>
      <c r="L338" s="909"/>
      <c r="M338" s="247"/>
    </row>
    <row r="339" spans="1:24" x14ac:dyDescent="0.25">
      <c r="A339" s="1027">
        <f t="shared" si="115"/>
        <v>0</v>
      </c>
      <c r="B339" s="171"/>
      <c r="C339" s="908"/>
      <c r="D339" s="908"/>
      <c r="E339" s="911"/>
      <c r="F339" s="910"/>
      <c r="G339" s="908"/>
      <c r="H339" s="909"/>
      <c r="I339" s="911"/>
      <c r="J339" s="910"/>
      <c r="K339" s="908"/>
      <c r="L339" s="909"/>
      <c r="M339" s="247"/>
    </row>
    <row r="340" spans="1:24" x14ac:dyDescent="0.25">
      <c r="A340" s="204" t="s">
        <v>1274</v>
      </c>
      <c r="B340" s="171"/>
      <c r="C340" s="76">
        <f>C175+C186+C197+C208+C219+C230+C241+C252+C263+C274+C285+C296+C307+C318+C329</f>
        <v>56744666</v>
      </c>
      <c r="D340" s="76">
        <f t="shared" ref="D340:L340" si="119">D175+D186+D197+D208+D219+D230+D241+D252+D263+D274+D285+D296+D307+D318+D329</f>
        <v>34742330.520000003</v>
      </c>
      <c r="E340" s="1420">
        <f t="shared" si="119"/>
        <v>46508203</v>
      </c>
      <c r="F340" s="1417">
        <f t="shared" si="119"/>
        <v>70815213</v>
      </c>
      <c r="G340" s="76">
        <f t="shared" si="119"/>
        <v>68454956</v>
      </c>
      <c r="H340" s="1420">
        <f t="shared" si="119"/>
        <v>68454956</v>
      </c>
      <c r="I340" s="1421">
        <f t="shared" si="119"/>
        <v>68454956</v>
      </c>
      <c r="J340" s="1417">
        <f t="shared" si="119"/>
        <v>65507957.5</v>
      </c>
      <c r="K340" s="76">
        <f t="shared" si="119"/>
        <v>68937414.950000003</v>
      </c>
      <c r="L340" s="76">
        <f t="shared" si="119"/>
        <v>73830919.849999994</v>
      </c>
      <c r="M340" s="247"/>
      <c r="V340" s="1421">
        <f t="shared" ref="V340:X340" si="120">V175+V186+V197+V208+V219+V230+V241+V252+V263+V274+V285+V296+V307+V318+V329</f>
        <v>0</v>
      </c>
      <c r="W340" s="1421">
        <f t="shared" si="120"/>
        <v>0</v>
      </c>
      <c r="X340" s="1421">
        <f t="shared" si="120"/>
        <v>0</v>
      </c>
    </row>
    <row r="341" spans="1:24" x14ac:dyDescent="0.25">
      <c r="A341" s="1398" t="s">
        <v>576</v>
      </c>
      <c r="B341" s="1132"/>
      <c r="C341" s="1133">
        <f>C171+C340</f>
        <v>56744666</v>
      </c>
      <c r="D341" s="1133">
        <f t="shared" ref="D341:L341" si="121">D171+D340</f>
        <v>34742330.520000003</v>
      </c>
      <c r="E341" s="1134">
        <f t="shared" si="121"/>
        <v>46508203</v>
      </c>
      <c r="F341" s="1135">
        <f t="shared" si="121"/>
        <v>70815213</v>
      </c>
      <c r="G341" s="1136">
        <f t="shared" si="121"/>
        <v>68454956</v>
      </c>
      <c r="H341" s="1137">
        <f t="shared" si="121"/>
        <v>68454956</v>
      </c>
      <c r="I341" s="1134">
        <f t="shared" si="121"/>
        <v>68454956</v>
      </c>
      <c r="J341" s="1135">
        <f t="shared" si="121"/>
        <v>65507957.5</v>
      </c>
      <c r="K341" s="1136">
        <f t="shared" si="121"/>
        <v>68937414.950000003</v>
      </c>
      <c r="L341" s="1137">
        <f t="shared" si="121"/>
        <v>73830919.849999994</v>
      </c>
      <c r="M341" s="247"/>
      <c r="V341" s="1134">
        <f t="shared" ref="V341:X341" si="122">V171+V340</f>
        <v>0</v>
      </c>
      <c r="W341" s="1134">
        <f t="shared" si="122"/>
        <v>0</v>
      </c>
      <c r="X341" s="1134">
        <f t="shared" si="122"/>
        <v>0</v>
      </c>
    </row>
    <row r="342" spans="1:24" x14ac:dyDescent="0.25">
      <c r="M342" s="247"/>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50"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 activePane="bottomRight" state="frozen"/>
      <selection pane="topRight"/>
      <selection pane="bottomLeft"/>
      <selection pane="bottomRight" activeCell="C55" sqref="C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LIM471 Ephraim Mogale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971</v>
      </c>
      <c r="B4" s="169"/>
      <c r="C4" s="189"/>
      <c r="D4" s="189"/>
      <c r="E4" s="192"/>
      <c r="F4" s="191"/>
      <c r="G4" s="189"/>
      <c r="H4" s="192"/>
      <c r="I4" s="190"/>
      <c r="J4" s="219"/>
      <c r="K4" s="189"/>
      <c r="L4" s="192"/>
    </row>
    <row r="5" spans="1:12" ht="11.25" customHeight="1" x14ac:dyDescent="0.25">
      <c r="A5" s="204" t="s">
        <v>972</v>
      </c>
      <c r="B5" s="171"/>
      <c r="C5" s="81"/>
      <c r="D5" s="81"/>
      <c r="E5" s="82"/>
      <c r="F5" s="83"/>
      <c r="G5" s="81"/>
      <c r="H5" s="82"/>
      <c r="I5" s="80"/>
      <c r="J5" s="84"/>
      <c r="K5" s="1946"/>
      <c r="L5" s="82"/>
    </row>
    <row r="6" spans="1:12" ht="11.25" customHeight="1" x14ac:dyDescent="0.25">
      <c r="A6" s="68" t="s">
        <v>659</v>
      </c>
      <c r="B6" s="171"/>
      <c r="C6" s="2088">
        <v>32429817</v>
      </c>
      <c r="D6" s="2088">
        <v>28549317</v>
      </c>
      <c r="E6" s="2106">
        <v>59466978</v>
      </c>
      <c r="F6" s="2107">
        <v>16000000</v>
      </c>
      <c r="G6" s="2107">
        <v>16000000</v>
      </c>
      <c r="H6" s="2107">
        <v>16000000</v>
      </c>
      <c r="I6" s="2107">
        <v>16000000</v>
      </c>
      <c r="J6" s="2090">
        <f>I6*106%</f>
        <v>16960000</v>
      </c>
      <c r="K6" s="2090">
        <f t="shared" ref="K6:L6" si="0">J6*106%</f>
        <v>17977600</v>
      </c>
      <c r="L6" s="2090">
        <f t="shared" si="0"/>
        <v>19056256</v>
      </c>
    </row>
    <row r="7" spans="1:12" ht="11.25" customHeight="1" x14ac:dyDescent="0.25">
      <c r="A7" s="68" t="s">
        <v>1454</v>
      </c>
      <c r="B7" s="171">
        <v>1</v>
      </c>
      <c r="C7" s="81">
        <f>'SA3'!C9</f>
        <v>0</v>
      </c>
      <c r="D7" s="81">
        <f>'SA3'!D9</f>
        <v>21195694</v>
      </c>
      <c r="E7" s="142">
        <f>'SA3'!E9</f>
        <v>22399847</v>
      </c>
      <c r="F7" s="83">
        <f>'SA3'!F9</f>
        <v>15000000</v>
      </c>
      <c r="G7" s="81">
        <f>'SA3'!G9</f>
        <v>15000000</v>
      </c>
      <c r="H7" s="142">
        <f>'SA3'!H9</f>
        <v>15000000</v>
      </c>
      <c r="I7" s="88">
        <f>'SA3'!I9</f>
        <v>15000000</v>
      </c>
      <c r="J7" s="89">
        <f>'SA3'!J9</f>
        <v>15900000</v>
      </c>
      <c r="K7" s="2533">
        <f>'SA3'!K9</f>
        <v>16854000</v>
      </c>
      <c r="L7" s="142">
        <f>'SA3'!L9</f>
        <v>17865240</v>
      </c>
    </row>
    <row r="8" spans="1:12" ht="11.25" customHeight="1" x14ac:dyDescent="0.25">
      <c r="A8" s="68" t="s">
        <v>1452</v>
      </c>
      <c r="B8" s="171">
        <v>1</v>
      </c>
      <c r="C8" s="81">
        <f>'SA3'!C14</f>
        <v>0</v>
      </c>
      <c r="D8" s="81">
        <f>'SA3'!D14</f>
        <v>11547944</v>
      </c>
      <c r="E8" s="142">
        <f>'SA3'!E14</f>
        <v>5236458</v>
      </c>
      <c r="F8" s="83">
        <f>'SA3'!F14</f>
        <v>3000000</v>
      </c>
      <c r="G8" s="81">
        <f>'SA3'!G14</f>
        <v>3000000</v>
      </c>
      <c r="H8" s="142">
        <f>'SA3'!H14</f>
        <v>3000000</v>
      </c>
      <c r="I8" s="88">
        <f>'SA3'!I14</f>
        <v>3000000</v>
      </c>
      <c r="J8" s="89">
        <f>'SA3'!J14</f>
        <v>3180000</v>
      </c>
      <c r="K8" s="2533">
        <f>'SA3'!K14</f>
        <v>3370800</v>
      </c>
      <c r="L8" s="142">
        <f>'SA3'!L14</f>
        <v>3573048</v>
      </c>
    </row>
    <row r="9" spans="1:12" ht="11.25" customHeight="1" x14ac:dyDescent="0.25">
      <c r="A9" s="68" t="s">
        <v>1453</v>
      </c>
      <c r="B9" s="171"/>
      <c r="C9" s="2088">
        <v>2606326</v>
      </c>
      <c r="D9" s="2088">
        <v>3721733</v>
      </c>
      <c r="E9" s="2106">
        <v>18533578</v>
      </c>
      <c r="F9" s="2107"/>
      <c r="G9" s="2088"/>
      <c r="H9" s="2106"/>
      <c r="I9" s="2108"/>
      <c r="J9" s="2090"/>
      <c r="K9" s="2092"/>
      <c r="L9" s="2106"/>
    </row>
    <row r="10" spans="1:12" ht="11.25" customHeight="1" x14ac:dyDescent="0.25">
      <c r="A10" s="68" t="s">
        <v>660</v>
      </c>
      <c r="B10" s="171"/>
      <c r="C10" s="2088">
        <v>100926</v>
      </c>
      <c r="D10" s="2088">
        <v>4394788</v>
      </c>
      <c r="E10" s="2106"/>
      <c r="F10" s="2114"/>
      <c r="G10" s="2110"/>
      <c r="H10" s="2113"/>
      <c r="I10" s="2108"/>
      <c r="J10" s="2116"/>
      <c r="K10" s="2112"/>
      <c r="L10" s="2113"/>
    </row>
    <row r="11" spans="1:12" ht="11.25" customHeight="1" x14ac:dyDescent="0.25">
      <c r="A11" s="68" t="s">
        <v>1451</v>
      </c>
      <c r="B11" s="171">
        <v>2</v>
      </c>
      <c r="C11" s="2088">
        <v>644660</v>
      </c>
      <c r="D11" s="2088">
        <v>689236</v>
      </c>
      <c r="E11" s="2106">
        <v>798751</v>
      </c>
      <c r="F11" s="2107"/>
      <c r="G11" s="2088"/>
      <c r="H11" s="2106"/>
      <c r="I11" s="2108"/>
      <c r="J11" s="2090"/>
      <c r="K11" s="2092"/>
      <c r="L11" s="2106"/>
    </row>
    <row r="12" spans="1:12" ht="11.25" customHeight="1" x14ac:dyDescent="0.25">
      <c r="A12" s="220" t="s">
        <v>551</v>
      </c>
      <c r="B12" s="221"/>
      <c r="C12" s="154">
        <f t="shared" ref="C12:L12" si="1">SUM(C6:C11)</f>
        <v>35781729</v>
      </c>
      <c r="D12" s="154">
        <f t="shared" si="1"/>
        <v>70098712</v>
      </c>
      <c r="E12" s="155">
        <f t="shared" si="1"/>
        <v>106435612</v>
      </c>
      <c r="F12" s="156">
        <f t="shared" si="1"/>
        <v>34000000</v>
      </c>
      <c r="G12" s="154">
        <f t="shared" si="1"/>
        <v>34000000</v>
      </c>
      <c r="H12" s="155">
        <f t="shared" si="1"/>
        <v>34000000</v>
      </c>
      <c r="I12" s="689">
        <f t="shared" si="1"/>
        <v>34000000</v>
      </c>
      <c r="J12" s="157">
        <f t="shared" si="1"/>
        <v>36040000</v>
      </c>
      <c r="K12" s="2534">
        <f t="shared" si="1"/>
        <v>38202400</v>
      </c>
      <c r="L12" s="155">
        <f t="shared" si="1"/>
        <v>40494544</v>
      </c>
    </row>
    <row r="13" spans="1:12" ht="5.0999999999999996" customHeight="1" x14ac:dyDescent="0.25">
      <c r="A13" s="79"/>
      <c r="B13" s="171"/>
      <c r="C13" s="81"/>
      <c r="D13" s="81"/>
      <c r="E13" s="82"/>
      <c r="F13" s="83"/>
      <c r="G13" s="81"/>
      <c r="H13" s="82"/>
      <c r="I13" s="88"/>
      <c r="J13" s="84"/>
      <c r="K13" s="1946"/>
      <c r="L13" s="82"/>
    </row>
    <row r="14" spans="1:12" ht="11.25" customHeight="1" x14ac:dyDescent="0.25">
      <c r="A14" s="204" t="s">
        <v>545</v>
      </c>
      <c r="B14" s="171"/>
      <c r="C14" s="81"/>
      <c r="D14" s="81"/>
      <c r="E14" s="82"/>
      <c r="F14" s="83"/>
      <c r="G14" s="81"/>
      <c r="H14" s="82"/>
      <c r="I14" s="88"/>
      <c r="J14" s="84"/>
      <c r="K14" s="1946"/>
      <c r="L14" s="82"/>
    </row>
    <row r="15" spans="1:12" ht="11.25" customHeight="1" x14ac:dyDescent="0.25">
      <c r="A15" s="68" t="s">
        <v>1450</v>
      </c>
      <c r="B15" s="171"/>
      <c r="C15" s="2088"/>
      <c r="D15" s="2088"/>
      <c r="E15" s="2106"/>
      <c r="F15" s="2107"/>
      <c r="G15" s="2088"/>
      <c r="H15" s="2106"/>
      <c r="I15" s="2108"/>
      <c r="J15" s="2090"/>
      <c r="K15" s="2092"/>
      <c r="L15" s="2106"/>
    </row>
    <row r="16" spans="1:12" ht="11.25" customHeight="1" x14ac:dyDescent="0.25">
      <c r="A16" s="68" t="s">
        <v>973</v>
      </c>
      <c r="B16" s="171"/>
      <c r="C16" s="2088"/>
      <c r="D16" s="2088"/>
      <c r="E16" s="2106"/>
      <c r="F16" s="2114"/>
      <c r="G16" s="2110"/>
      <c r="H16" s="2113"/>
      <c r="I16" s="2108"/>
      <c r="J16" s="2116">
        <v>31279807.997299999</v>
      </c>
      <c r="K16" s="2112">
        <v>31279807.997299999</v>
      </c>
      <c r="L16" s="2113">
        <v>31279807.997299999</v>
      </c>
    </row>
    <row r="17" spans="1:13" ht="11.25" customHeight="1" x14ac:dyDescent="0.25">
      <c r="A17" s="68" t="s">
        <v>1449</v>
      </c>
      <c r="B17" s="171"/>
      <c r="C17" s="2088">
        <v>107329000</v>
      </c>
      <c r="D17" s="2088">
        <v>114048000</v>
      </c>
      <c r="E17" s="2106">
        <v>118087200</v>
      </c>
      <c r="F17" s="2107"/>
      <c r="G17" s="2088"/>
      <c r="H17" s="2106"/>
      <c r="I17" s="2108"/>
      <c r="J17" s="2090"/>
      <c r="K17" s="2092"/>
      <c r="L17" s="2106"/>
    </row>
    <row r="18" spans="1:13" ht="11.25" customHeight="1" x14ac:dyDescent="0.25">
      <c r="A18" s="68" t="s">
        <v>739</v>
      </c>
      <c r="B18" s="171"/>
      <c r="C18" s="2088"/>
      <c r="D18" s="2088"/>
      <c r="E18" s="2106"/>
      <c r="F18" s="2107"/>
      <c r="G18" s="2088"/>
      <c r="H18" s="2106"/>
      <c r="I18" s="2108"/>
      <c r="J18" s="2090"/>
      <c r="K18" s="2092"/>
      <c r="L18" s="2106"/>
    </row>
    <row r="19" spans="1:13" ht="11.25" customHeight="1" x14ac:dyDescent="0.25">
      <c r="A19" s="68" t="s">
        <v>1448</v>
      </c>
      <c r="B19" s="171">
        <v>3</v>
      </c>
      <c r="C19" s="81">
        <f>'SA3'!C26</f>
        <v>0</v>
      </c>
      <c r="D19" s="81">
        <f>'SA3'!D26</f>
        <v>788573861</v>
      </c>
      <c r="E19" s="142">
        <f>'SA3'!E26</f>
        <v>793054824</v>
      </c>
      <c r="F19" s="83">
        <f>'SA3'!F26</f>
        <v>78213000</v>
      </c>
      <c r="G19" s="81">
        <f>'SA3'!G26</f>
        <v>78213000</v>
      </c>
      <c r="H19" s="82">
        <f>'SA3'!H26</f>
        <v>78213000</v>
      </c>
      <c r="I19" s="80">
        <f>'SA3'!I26</f>
        <v>78213000</v>
      </c>
      <c r="J19" s="84">
        <f>'SA3'!J26</f>
        <v>82905780</v>
      </c>
      <c r="K19" s="1946">
        <f>'SA3'!K26</f>
        <v>87880126.799999997</v>
      </c>
      <c r="L19" s="82">
        <f>'SA3'!L26</f>
        <v>93152934.408000007</v>
      </c>
    </row>
    <row r="20" spans="1:13" ht="11.25" customHeight="1" x14ac:dyDescent="0.25">
      <c r="A20" s="68" t="s">
        <v>900</v>
      </c>
      <c r="B20" s="171"/>
      <c r="C20" s="2088"/>
      <c r="D20" s="2088"/>
      <c r="E20" s="2106"/>
      <c r="F20" s="2107"/>
      <c r="G20" s="2088"/>
      <c r="H20" s="2106"/>
      <c r="I20" s="2108"/>
      <c r="J20" s="2090"/>
      <c r="K20" s="2092"/>
      <c r="L20" s="2106"/>
    </row>
    <row r="21" spans="1:13" ht="11.25" customHeight="1" x14ac:dyDescent="0.25">
      <c r="A21" s="68" t="s">
        <v>901</v>
      </c>
      <c r="B21" s="171"/>
      <c r="C21" s="2088"/>
      <c r="D21" s="2088"/>
      <c r="E21" s="2106"/>
      <c r="F21" s="2107"/>
      <c r="G21" s="2088"/>
      <c r="H21" s="2106"/>
      <c r="I21" s="2108"/>
      <c r="J21" s="2090"/>
      <c r="K21" s="2092"/>
      <c r="L21" s="2106"/>
    </row>
    <row r="22" spans="1:13" ht="11.25" customHeight="1" x14ac:dyDescent="0.25">
      <c r="A22" s="68" t="s">
        <v>902</v>
      </c>
      <c r="B22" s="171"/>
      <c r="C22" s="2088">
        <v>371171</v>
      </c>
      <c r="D22" s="2088"/>
      <c r="E22" s="2106"/>
      <c r="F22" s="2107"/>
      <c r="G22" s="2088"/>
      <c r="H22" s="2106"/>
      <c r="I22" s="2108"/>
      <c r="J22" s="2090"/>
      <c r="K22" s="2092"/>
      <c r="L22" s="2106"/>
    </row>
    <row r="23" spans="1:13" ht="11.25" customHeight="1" x14ac:dyDescent="0.25">
      <c r="A23" s="68" t="s">
        <v>1607</v>
      </c>
      <c r="B23" s="171"/>
      <c r="C23" s="2088"/>
      <c r="D23" s="2088"/>
      <c r="E23" s="2106"/>
      <c r="F23" s="2114"/>
      <c r="G23" s="2110"/>
      <c r="H23" s="2113"/>
      <c r="I23" s="2107"/>
      <c r="J23" s="2116"/>
      <c r="K23" s="2112"/>
      <c r="L23" s="2113"/>
    </row>
    <row r="24" spans="1:13" ht="11.25" customHeight="1" x14ac:dyDescent="0.25">
      <c r="A24" s="220" t="s">
        <v>550</v>
      </c>
      <c r="B24" s="1239"/>
      <c r="C24" s="1238">
        <f>SUM(C15:C23)</f>
        <v>107700171</v>
      </c>
      <c r="D24" s="91">
        <f>SUM(D15:D23)</f>
        <v>902621861</v>
      </c>
      <c r="E24" s="92">
        <f t="shared" ref="E24:L24" si="2">SUM(E15:E23)</f>
        <v>911142024</v>
      </c>
      <c r="F24" s="93">
        <f t="shared" si="2"/>
        <v>78213000</v>
      </c>
      <c r="G24" s="91">
        <f t="shared" si="2"/>
        <v>78213000</v>
      </c>
      <c r="H24" s="92">
        <f t="shared" si="2"/>
        <v>78213000</v>
      </c>
      <c r="I24" s="90">
        <f t="shared" si="2"/>
        <v>78213000</v>
      </c>
      <c r="J24" s="94">
        <f t="shared" si="2"/>
        <v>114185587.9973</v>
      </c>
      <c r="K24" s="1238">
        <f t="shared" si="2"/>
        <v>119159934.7973</v>
      </c>
      <c r="L24" s="92">
        <f t="shared" si="2"/>
        <v>124432742.40530001</v>
      </c>
    </row>
    <row r="25" spans="1:13" ht="11.25" customHeight="1" x14ac:dyDescent="0.25">
      <c r="A25" s="220" t="s">
        <v>554</v>
      </c>
      <c r="B25" s="221"/>
      <c r="C25" s="154">
        <f>C12+C24</f>
        <v>143481900</v>
      </c>
      <c r="D25" s="154">
        <f>D12+D24</f>
        <v>972720573</v>
      </c>
      <c r="E25" s="155">
        <f>E12+E24</f>
        <v>1017577636</v>
      </c>
      <c r="F25" s="156">
        <f t="shared" ref="F25:L25" si="3">F12+F24</f>
        <v>112213000</v>
      </c>
      <c r="G25" s="154">
        <f t="shared" si="3"/>
        <v>112213000</v>
      </c>
      <c r="H25" s="155">
        <f t="shared" si="3"/>
        <v>112213000</v>
      </c>
      <c r="I25" s="153">
        <f t="shared" si="3"/>
        <v>112213000</v>
      </c>
      <c r="J25" s="157">
        <f t="shared" si="3"/>
        <v>150225587.9973</v>
      </c>
      <c r="K25" s="2534">
        <f t="shared" si="3"/>
        <v>157362334.79729998</v>
      </c>
      <c r="L25" s="155">
        <f t="shared" si="3"/>
        <v>164927286.40530002</v>
      </c>
    </row>
    <row r="26" spans="1:13" ht="5.0999999999999996" customHeight="1" x14ac:dyDescent="0.25">
      <c r="A26" s="79"/>
      <c r="B26" s="171"/>
      <c r="C26" s="81"/>
      <c r="D26" s="81"/>
      <c r="E26" s="82"/>
      <c r="F26" s="83"/>
      <c r="G26" s="81"/>
      <c r="H26" s="82"/>
      <c r="I26" s="80"/>
      <c r="J26" s="84"/>
      <c r="K26" s="1946"/>
      <c r="L26" s="82"/>
    </row>
    <row r="27" spans="1:13" ht="11.25" customHeight="1" x14ac:dyDescent="0.25">
      <c r="A27" s="204" t="s">
        <v>546</v>
      </c>
      <c r="B27" s="171"/>
      <c r="C27" s="81"/>
      <c r="D27" s="81"/>
      <c r="E27" s="82"/>
      <c r="F27" s="83"/>
      <c r="G27" s="81"/>
      <c r="H27" s="82"/>
      <c r="I27" s="80"/>
      <c r="J27" s="84"/>
      <c r="K27" s="1946"/>
      <c r="L27" s="82"/>
    </row>
    <row r="28" spans="1:13" ht="11.25" customHeight="1" x14ac:dyDescent="0.25">
      <c r="A28" s="204" t="s">
        <v>974</v>
      </c>
      <c r="B28" s="173"/>
      <c r="C28" s="81"/>
      <c r="D28" s="81"/>
      <c r="E28" s="82"/>
      <c r="F28" s="83"/>
      <c r="G28" s="81"/>
      <c r="H28" s="82"/>
      <c r="I28" s="80"/>
      <c r="J28" s="84"/>
      <c r="K28" s="1946"/>
      <c r="L28" s="82"/>
    </row>
    <row r="29" spans="1:13" ht="11.25" customHeight="1" x14ac:dyDescent="0.25">
      <c r="A29" s="68" t="s">
        <v>1243</v>
      </c>
      <c r="B29" s="171">
        <v>1</v>
      </c>
      <c r="C29" s="2088"/>
      <c r="D29" s="2088"/>
      <c r="E29" s="2106"/>
      <c r="F29" s="2107"/>
      <c r="G29" s="2088"/>
      <c r="H29" s="2106"/>
      <c r="I29" s="2108"/>
      <c r="J29" s="2090"/>
      <c r="K29" s="2092"/>
      <c r="L29" s="2106"/>
    </row>
    <row r="30" spans="1:13" ht="11.25" customHeight="1" x14ac:dyDescent="0.25">
      <c r="A30" s="68" t="s">
        <v>1231</v>
      </c>
      <c r="B30" s="171">
        <v>4</v>
      </c>
      <c r="C30" s="81">
        <f>'SA3'!C32</f>
        <v>0</v>
      </c>
      <c r="D30" s="81">
        <f>'SA3'!D32</f>
        <v>1316866</v>
      </c>
      <c r="E30" s="142">
        <f>'SA3'!E32</f>
        <v>1425253</v>
      </c>
      <c r="F30" s="83">
        <f>'SA3'!F32</f>
        <v>0</v>
      </c>
      <c r="G30" s="81">
        <f>'SA3'!G32</f>
        <v>0</v>
      </c>
      <c r="H30" s="82">
        <f>'SA3'!H32</f>
        <v>0</v>
      </c>
      <c r="I30" s="80">
        <f>'SA3'!I32</f>
        <v>0</v>
      </c>
      <c r="J30" s="84">
        <f>'SA3'!J32</f>
        <v>0</v>
      </c>
      <c r="K30" s="1946">
        <f>'SA3'!K32</f>
        <v>0</v>
      </c>
      <c r="L30" s="82">
        <f>'SA3'!L32</f>
        <v>0</v>
      </c>
    </row>
    <row r="31" spans="1:13" ht="11.25" customHeight="1" x14ac:dyDescent="0.25">
      <c r="A31" s="68" t="s">
        <v>1445</v>
      </c>
      <c r="B31" s="171"/>
      <c r="C31" s="2088">
        <v>1688933</v>
      </c>
      <c r="D31" s="2088">
        <v>1620351</v>
      </c>
      <c r="E31" s="2106">
        <v>1568314</v>
      </c>
      <c r="F31" s="2107"/>
      <c r="G31" s="2088"/>
      <c r="H31" s="2106"/>
      <c r="I31" s="2108"/>
      <c r="J31" s="2090"/>
      <c r="K31" s="2092"/>
      <c r="L31" s="2106"/>
      <c r="M31" s="247"/>
    </row>
    <row r="32" spans="1:13" ht="11.25" customHeight="1" x14ac:dyDescent="0.25">
      <c r="A32" s="68" t="s">
        <v>661</v>
      </c>
      <c r="B32" s="171">
        <v>4</v>
      </c>
      <c r="C32" s="81">
        <f>'SA3'!C38</f>
        <v>0</v>
      </c>
      <c r="D32" s="81">
        <f>'SA3'!D38</f>
        <v>46782739</v>
      </c>
      <c r="E32" s="142">
        <f>'SA3'!E38</f>
        <v>45890126</v>
      </c>
      <c r="F32" s="129">
        <f>'SA3'!F38</f>
        <v>4000000</v>
      </c>
      <c r="G32" s="81">
        <f>'SA3'!G38</f>
        <v>4000000</v>
      </c>
      <c r="H32" s="82">
        <f>'SA3'!H38</f>
        <v>4000000</v>
      </c>
      <c r="I32" s="80">
        <f>'SA3'!I38</f>
        <v>4000000</v>
      </c>
      <c r="J32" s="84">
        <f>'SA3'!J38</f>
        <v>4240000</v>
      </c>
      <c r="K32" s="1946">
        <f>'SA3'!K38</f>
        <v>4494400</v>
      </c>
      <c r="L32" s="82">
        <f>'SA3'!L38</f>
        <v>4764064</v>
      </c>
      <c r="M32" s="247"/>
    </row>
    <row r="33" spans="1:15" ht="11.25" customHeight="1" x14ac:dyDescent="0.25">
      <c r="A33" s="68" t="s">
        <v>975</v>
      </c>
      <c r="B33" s="171"/>
      <c r="C33" s="2088">
        <v>15193390</v>
      </c>
      <c r="D33" s="2088">
        <v>182276</v>
      </c>
      <c r="E33" s="2106">
        <v>204668</v>
      </c>
      <c r="F33" s="2107"/>
      <c r="G33" s="2088"/>
      <c r="H33" s="2106"/>
      <c r="I33" s="2108"/>
      <c r="J33" s="2090"/>
      <c r="K33" s="2092"/>
      <c r="L33" s="2106"/>
      <c r="M33" s="247"/>
    </row>
    <row r="34" spans="1:15" ht="11.25" customHeight="1" x14ac:dyDescent="0.25">
      <c r="A34" s="220" t="s">
        <v>549</v>
      </c>
      <c r="B34" s="221"/>
      <c r="C34" s="154">
        <f t="shared" ref="C34:L34" si="4">SUM(C29:C33)</f>
        <v>16882323</v>
      </c>
      <c r="D34" s="154">
        <f t="shared" si="4"/>
        <v>49902232</v>
      </c>
      <c r="E34" s="155">
        <f t="shared" si="4"/>
        <v>49088361</v>
      </c>
      <c r="F34" s="156">
        <f t="shared" si="4"/>
        <v>4000000</v>
      </c>
      <c r="G34" s="154">
        <f t="shared" si="4"/>
        <v>4000000</v>
      </c>
      <c r="H34" s="155">
        <f t="shared" si="4"/>
        <v>4000000</v>
      </c>
      <c r="I34" s="153">
        <f t="shared" si="4"/>
        <v>4000000</v>
      </c>
      <c r="J34" s="157">
        <f t="shared" si="4"/>
        <v>4240000</v>
      </c>
      <c r="K34" s="2534">
        <f t="shared" si="4"/>
        <v>4494400</v>
      </c>
      <c r="L34" s="155">
        <f t="shared" si="4"/>
        <v>4764064</v>
      </c>
      <c r="M34" s="247"/>
    </row>
    <row r="35" spans="1:15" ht="5.0999999999999996" customHeight="1" x14ac:dyDescent="0.25">
      <c r="A35" s="79"/>
      <c r="B35" s="171"/>
      <c r="C35" s="81"/>
      <c r="D35" s="81"/>
      <c r="E35" s="82"/>
      <c r="F35" s="83"/>
      <c r="G35" s="81"/>
      <c r="H35" s="82"/>
      <c r="I35" s="80"/>
      <c r="J35" s="84"/>
      <c r="K35" s="1946"/>
      <c r="L35" s="82"/>
      <c r="M35" s="247"/>
    </row>
    <row r="36" spans="1:15" ht="11.25" customHeight="1" x14ac:dyDescent="0.25">
      <c r="A36" s="204" t="s">
        <v>547</v>
      </c>
      <c r="B36" s="171"/>
      <c r="C36" s="81"/>
      <c r="D36" s="81"/>
      <c r="E36" s="82"/>
      <c r="F36" s="83"/>
      <c r="G36" s="81"/>
      <c r="H36" s="82"/>
      <c r="I36" s="80"/>
      <c r="J36" s="84"/>
      <c r="K36" s="1946"/>
      <c r="L36" s="82"/>
      <c r="M36" s="247"/>
    </row>
    <row r="37" spans="1:15" ht="11.25" customHeight="1" x14ac:dyDescent="0.25">
      <c r="A37" s="68" t="s">
        <v>1231</v>
      </c>
      <c r="B37" s="171"/>
      <c r="C37" s="81">
        <f>'SA3'!C43</f>
        <v>0</v>
      </c>
      <c r="D37" s="81">
        <f>'SA3'!D43</f>
        <v>5015160</v>
      </c>
      <c r="E37" s="142">
        <f>'SA3'!E43</f>
        <v>3589907</v>
      </c>
      <c r="F37" s="83">
        <f>'SA3'!F43</f>
        <v>0</v>
      </c>
      <c r="G37" s="81">
        <f>'SA3'!G43</f>
        <v>0</v>
      </c>
      <c r="H37" s="82">
        <f>'SA3'!H43</f>
        <v>0</v>
      </c>
      <c r="I37" s="80">
        <f>'SA3'!I43</f>
        <v>0</v>
      </c>
      <c r="J37" s="84">
        <f>'SA3'!J43</f>
        <v>0</v>
      </c>
      <c r="K37" s="1946">
        <f>'SA3'!K43</f>
        <v>0</v>
      </c>
      <c r="L37" s="82">
        <f>'SA3'!L43</f>
        <v>0</v>
      </c>
      <c r="M37" s="247"/>
    </row>
    <row r="38" spans="1:15" ht="11.25" customHeight="1" x14ac:dyDescent="0.25">
      <c r="A38" s="68" t="s">
        <v>975</v>
      </c>
      <c r="B38" s="171"/>
      <c r="C38" s="81">
        <f>'SA3'!C50</f>
        <v>0</v>
      </c>
      <c r="D38" s="81">
        <f>'SA3'!D50</f>
        <v>26668547</v>
      </c>
      <c r="E38" s="142">
        <f>'SA3'!E50</f>
        <v>26618410</v>
      </c>
      <c r="F38" s="83">
        <f>'SA3'!F50</f>
        <v>0</v>
      </c>
      <c r="G38" s="81">
        <f>'SA3'!G50</f>
        <v>0</v>
      </c>
      <c r="H38" s="82">
        <f>'SA3'!H50</f>
        <v>0</v>
      </c>
      <c r="I38" s="80">
        <f>'SA3'!I50</f>
        <v>0</v>
      </c>
      <c r="J38" s="84">
        <f>'SA3'!J50</f>
        <v>0</v>
      </c>
      <c r="K38" s="1946">
        <f>'SA3'!K50</f>
        <v>0</v>
      </c>
      <c r="L38" s="82">
        <f>'SA3'!L50</f>
        <v>0</v>
      </c>
      <c r="M38" s="247"/>
    </row>
    <row r="39" spans="1:15" ht="11.25" customHeight="1" x14ac:dyDescent="0.25">
      <c r="A39" s="220" t="s">
        <v>548</v>
      </c>
      <c r="B39" s="1239"/>
      <c r="C39" s="1238">
        <f>SUM(C37:C38)</f>
        <v>0</v>
      </c>
      <c r="D39" s="91">
        <f>SUM(D37:D38)</f>
        <v>31683707</v>
      </c>
      <c r="E39" s="92">
        <f>SUM(E37:E38)</f>
        <v>30208317</v>
      </c>
      <c r="F39" s="93">
        <f t="shared" ref="F39:L39" si="5">SUM(F37:F38)</f>
        <v>0</v>
      </c>
      <c r="G39" s="91">
        <f t="shared" si="5"/>
        <v>0</v>
      </c>
      <c r="H39" s="92">
        <f t="shared" si="5"/>
        <v>0</v>
      </c>
      <c r="I39" s="93">
        <f t="shared" si="5"/>
        <v>0</v>
      </c>
      <c r="J39" s="94">
        <f t="shared" si="5"/>
        <v>0</v>
      </c>
      <c r="K39" s="1238">
        <f>SUM(K37:K38)</f>
        <v>0</v>
      </c>
      <c r="L39" s="92">
        <f t="shared" si="5"/>
        <v>0</v>
      </c>
    </row>
    <row r="40" spans="1:15" ht="11.25" customHeight="1" x14ac:dyDescent="0.25">
      <c r="A40" s="220" t="s">
        <v>1032</v>
      </c>
      <c r="B40" s="221"/>
      <c r="C40" s="154">
        <f>C34+C39</f>
        <v>16882323</v>
      </c>
      <c r="D40" s="154">
        <f>D34+D39</f>
        <v>81585939</v>
      </c>
      <c r="E40" s="155">
        <f>E34+E39</f>
        <v>79296678</v>
      </c>
      <c r="F40" s="156">
        <f t="shared" ref="F40:L40" si="6">F34+F39</f>
        <v>4000000</v>
      </c>
      <c r="G40" s="154">
        <f t="shared" si="6"/>
        <v>4000000</v>
      </c>
      <c r="H40" s="155">
        <f t="shared" si="6"/>
        <v>4000000</v>
      </c>
      <c r="I40" s="153">
        <f t="shared" si="6"/>
        <v>4000000</v>
      </c>
      <c r="J40" s="157">
        <f t="shared" si="6"/>
        <v>4240000</v>
      </c>
      <c r="K40" s="2534">
        <f>K34+K39</f>
        <v>4494400</v>
      </c>
      <c r="L40" s="155">
        <f t="shared" si="6"/>
        <v>4764064</v>
      </c>
    </row>
    <row r="41" spans="1:15" s="124" customFormat="1" ht="4.5" customHeight="1" x14ac:dyDescent="0.25">
      <c r="A41" s="79"/>
      <c r="B41" s="171"/>
      <c r="C41" s="81"/>
      <c r="D41" s="81"/>
      <c r="E41" s="82"/>
      <c r="F41" s="83"/>
      <c r="G41" s="81"/>
      <c r="H41" s="82"/>
      <c r="I41" s="80"/>
      <c r="J41" s="84"/>
      <c r="K41" s="1946"/>
      <c r="L41" s="82"/>
      <c r="O41" s="27"/>
    </row>
    <row r="42" spans="1:15" ht="11.25" customHeight="1" x14ac:dyDescent="0.25">
      <c r="A42" s="224" t="s">
        <v>553</v>
      </c>
      <c r="B42" s="225">
        <v>5</v>
      </c>
      <c r="C42" s="161">
        <f t="shared" ref="C42:L42" si="7">C25-C40</f>
        <v>126599577</v>
      </c>
      <c r="D42" s="161">
        <f t="shared" si="7"/>
        <v>891134634</v>
      </c>
      <c r="E42" s="162">
        <f t="shared" si="7"/>
        <v>938280958</v>
      </c>
      <c r="F42" s="163">
        <f t="shared" si="7"/>
        <v>108213000</v>
      </c>
      <c r="G42" s="161">
        <f t="shared" si="7"/>
        <v>108213000</v>
      </c>
      <c r="H42" s="162">
        <f t="shared" si="7"/>
        <v>108213000</v>
      </c>
      <c r="I42" s="160">
        <f t="shared" si="7"/>
        <v>108213000</v>
      </c>
      <c r="J42" s="164">
        <f t="shared" si="7"/>
        <v>145985587.9973</v>
      </c>
      <c r="K42" s="2535">
        <f t="shared" si="7"/>
        <v>152867934.79729998</v>
      </c>
      <c r="L42" s="162">
        <f t="shared" si="7"/>
        <v>160163222.40530002</v>
      </c>
    </row>
    <row r="43" spans="1:15" ht="5.0999999999999996" customHeight="1" x14ac:dyDescent="0.25">
      <c r="A43" s="79"/>
      <c r="B43" s="171"/>
      <c r="C43" s="81"/>
      <c r="D43" s="81"/>
      <c r="E43" s="82"/>
      <c r="F43" s="83"/>
      <c r="G43" s="81"/>
      <c r="H43" s="82"/>
      <c r="I43" s="80"/>
      <c r="J43" s="84"/>
      <c r="K43" s="1946"/>
      <c r="L43" s="82"/>
    </row>
    <row r="44" spans="1:15" ht="11.25" customHeight="1" x14ac:dyDescent="0.25">
      <c r="A44" s="211" t="s">
        <v>552</v>
      </c>
      <c r="B44" s="171"/>
      <c r="C44" s="81"/>
      <c r="D44" s="81"/>
      <c r="E44" s="82"/>
      <c r="F44" s="83"/>
      <c r="G44" s="81"/>
      <c r="H44" s="82"/>
      <c r="I44" s="80"/>
      <c r="J44" s="84"/>
      <c r="K44" s="1946"/>
      <c r="L44" s="82"/>
    </row>
    <row r="45" spans="1:15" ht="11.25" customHeight="1" x14ac:dyDescent="0.25">
      <c r="A45" s="68" t="s">
        <v>402</v>
      </c>
      <c r="B45" s="171"/>
      <c r="C45" s="2617">
        <v>126599577</v>
      </c>
      <c r="D45" s="2088">
        <v>891134634</v>
      </c>
      <c r="E45" s="2106">
        <v>938280958</v>
      </c>
      <c r="F45" s="2088">
        <v>108213000</v>
      </c>
      <c r="G45" s="2088">
        <v>108213000</v>
      </c>
      <c r="H45" s="2106">
        <v>108213000</v>
      </c>
      <c r="I45" s="2108">
        <v>108213000</v>
      </c>
      <c r="J45" s="2090">
        <v>145985587.9973</v>
      </c>
      <c r="K45" s="2092">
        <v>152867934.79729998</v>
      </c>
      <c r="L45" s="2106">
        <v>160163222.40530002</v>
      </c>
    </row>
    <row r="46" spans="1:15" ht="11.25" customHeight="1" x14ac:dyDescent="0.25">
      <c r="A46" s="68" t="s">
        <v>706</v>
      </c>
      <c r="B46" s="171">
        <v>4</v>
      </c>
      <c r="C46" s="81">
        <f>'SA3'!C69</f>
        <v>0</v>
      </c>
      <c r="D46" s="81">
        <f>'SA3'!D69</f>
        <v>0</v>
      </c>
      <c r="E46" s="142">
        <f>'SA3'!E69</f>
        <v>0</v>
      </c>
      <c r="F46" s="129">
        <f>'SA3'!F69</f>
        <v>0</v>
      </c>
      <c r="G46" s="81">
        <f>'SA3'!G69</f>
        <v>0</v>
      </c>
      <c r="H46" s="82">
        <f>'SA3'!H69</f>
        <v>0</v>
      </c>
      <c r="I46" s="80">
        <f>'SA3'!I69</f>
        <v>0</v>
      </c>
      <c r="J46" s="84">
        <f>'SA3'!J69</f>
        <v>0</v>
      </c>
      <c r="K46" s="1946">
        <f>'SA3'!K69</f>
        <v>0</v>
      </c>
      <c r="L46" s="82">
        <f>'SA3'!L69</f>
        <v>0</v>
      </c>
    </row>
    <row r="47" spans="1:15" ht="11.25" customHeight="1" x14ac:dyDescent="0.25">
      <c r="A47" s="68"/>
      <c r="B47" s="171"/>
      <c r="C47" s="2088"/>
      <c r="D47" s="2088"/>
      <c r="E47" s="2106"/>
      <c r="F47" s="2107"/>
      <c r="G47" s="2088"/>
      <c r="H47" s="2106"/>
      <c r="I47" s="2108"/>
      <c r="J47" s="2090"/>
      <c r="K47" s="2092"/>
      <c r="L47" s="2106"/>
    </row>
    <row r="48" spans="1:15" x14ac:dyDescent="0.25">
      <c r="A48" s="102" t="s">
        <v>1033</v>
      </c>
      <c r="B48" s="184">
        <v>5</v>
      </c>
      <c r="C48" s="108">
        <f>SUM(C45:C47)</f>
        <v>126599577</v>
      </c>
      <c r="D48" s="108">
        <f t="shared" ref="D48:L48" si="8">SUM(D45:D47)</f>
        <v>891134634</v>
      </c>
      <c r="E48" s="106">
        <f t="shared" si="8"/>
        <v>938280958</v>
      </c>
      <c r="F48" s="107">
        <f t="shared" si="8"/>
        <v>108213000</v>
      </c>
      <c r="G48" s="108">
        <f t="shared" si="8"/>
        <v>108213000</v>
      </c>
      <c r="H48" s="106">
        <f t="shared" si="8"/>
        <v>108213000</v>
      </c>
      <c r="I48" s="109">
        <f t="shared" si="8"/>
        <v>108213000</v>
      </c>
      <c r="J48" s="110">
        <f t="shared" si="8"/>
        <v>145985587.9973</v>
      </c>
      <c r="K48" s="2536">
        <f t="shared" si="8"/>
        <v>152867934.79729998</v>
      </c>
      <c r="L48" s="106">
        <f t="shared" si="8"/>
        <v>160163222.40530002</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73" t="s">
        <v>1390</v>
      </c>
      <c r="B50" s="2673"/>
      <c r="C50" s="2673"/>
      <c r="D50" s="2673"/>
      <c r="E50" s="2673"/>
      <c r="F50" s="2673"/>
      <c r="G50" s="2673"/>
      <c r="H50" s="2673"/>
      <c r="I50" s="2673"/>
      <c r="J50" s="2673"/>
      <c r="K50" s="2673"/>
      <c r="L50" s="2673"/>
    </row>
    <row r="51" spans="1:14" s="586" customFormat="1" ht="12.75" customHeight="1" x14ac:dyDescent="0.25">
      <c r="A51" s="1052" t="s">
        <v>1008</v>
      </c>
      <c r="B51" s="1052"/>
      <c r="C51" s="1052"/>
      <c r="D51" s="1052"/>
      <c r="E51" s="1052"/>
      <c r="F51" s="1052"/>
      <c r="G51" s="1052"/>
      <c r="H51" s="1052"/>
      <c r="I51" s="1052"/>
      <c r="J51" s="1052"/>
      <c r="K51" s="1052"/>
      <c r="L51" s="1052"/>
    </row>
    <row r="52" spans="1:14" s="586" customFormat="1" ht="12.75" customHeight="1" x14ac:dyDescent="0.25">
      <c r="A52" s="1052" t="s">
        <v>1724</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9">IF((D42-D48)=0,0,"Unbalanced")</f>
        <v>0</v>
      </c>
      <c r="E55" s="1125">
        <f t="shared" si="9"/>
        <v>0</v>
      </c>
      <c r="F55" s="1125">
        <f t="shared" si="9"/>
        <v>0</v>
      </c>
      <c r="G55" s="1125">
        <f t="shared" si="9"/>
        <v>0</v>
      </c>
      <c r="H55" s="1125">
        <f t="shared" si="9"/>
        <v>0</v>
      </c>
      <c r="I55" s="1125">
        <f t="shared" si="9"/>
        <v>0</v>
      </c>
      <c r="J55" s="1125">
        <f t="shared" si="9"/>
        <v>0</v>
      </c>
      <c r="K55" s="1125">
        <f t="shared" si="9"/>
        <v>0</v>
      </c>
      <c r="L55" s="1125">
        <f t="shared" si="9"/>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2185</v>
      </c>
      <c r="B71" s="678"/>
      <c r="C71" s="2045" t="str">
        <f>IF(C25&lt;&gt;C40,"Unbalanced",0)</f>
        <v>Unbalanced</v>
      </c>
      <c r="D71" s="2046" t="str">
        <f t="shared" ref="D71:L71" si="10">IF(D25&lt;&gt;D40,"Unbalanced",0)</f>
        <v>Unbalanced</v>
      </c>
      <c r="E71" s="2046" t="str">
        <f t="shared" si="10"/>
        <v>Unbalanced</v>
      </c>
      <c r="F71" s="2046" t="str">
        <f t="shared" si="10"/>
        <v>Unbalanced</v>
      </c>
      <c r="G71" s="2046" t="str">
        <f t="shared" si="10"/>
        <v>Unbalanced</v>
      </c>
      <c r="H71" s="2046" t="str">
        <f t="shared" si="10"/>
        <v>Unbalanced</v>
      </c>
      <c r="I71" s="2046" t="str">
        <f t="shared" si="10"/>
        <v>Unbalanced</v>
      </c>
      <c r="J71" s="2046" t="str">
        <f t="shared" si="10"/>
        <v>Unbalanced</v>
      </c>
      <c r="K71" s="2046" t="str">
        <f t="shared" si="10"/>
        <v>Unbalanced</v>
      </c>
      <c r="L71" s="2046"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9CCFF"/>
    <pageSetUpPr fitToPage="1"/>
  </sheetPr>
  <dimension ref="A1:P79"/>
  <sheetViews>
    <sheetView showGridLines="0" zoomScaleNormal="100" workbookViewId="0">
      <pane xSplit="2" ySplit="3" topLeftCell="C31" activePane="bottomRight" state="frozen"/>
      <selection pane="topRight"/>
      <selection pane="bottomLeft"/>
      <selection pane="bottomRight" activeCell="K48" sqref="K4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LIM471 Ephraim Mogale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25.5" x14ac:dyDescent="0.25">
      <c r="A3" s="58" t="s">
        <v>625</v>
      </c>
      <c r="B3" s="863"/>
      <c r="C3" s="267" t="str">
        <f>Head5</f>
        <v>Audited Outcome</v>
      </c>
      <c r="D3" s="267" t="str">
        <f>Head5</f>
        <v>Audited Outcome</v>
      </c>
      <c r="E3" s="268" t="str">
        <f>Head5</f>
        <v>Audited Outcome</v>
      </c>
      <c r="F3" s="2043" t="str">
        <f>Head6</f>
        <v>Original Budget</v>
      </c>
      <c r="G3" s="801" t="str">
        <f>Head7</f>
        <v>Adjusted Budget</v>
      </c>
      <c r="H3" s="801" t="str">
        <f>Head8</f>
        <v>Full Year Forecast</v>
      </c>
      <c r="I3" s="2044" t="str">
        <f>Head5b</f>
        <v>Pre-audit outcome</v>
      </c>
      <c r="J3" s="2043" t="str">
        <f>Head9</f>
        <v>Budget Year 2016/17</v>
      </c>
      <c r="K3" s="801" t="str">
        <f>Head10</f>
        <v>Budget Year +1 2017/18</v>
      </c>
      <c r="L3" s="802" t="str">
        <f>Head11</f>
        <v>Budget Year +2 2018/19</v>
      </c>
    </row>
    <row r="4" spans="1:12" ht="11.25" customHeight="1" x14ac:dyDescent="0.25">
      <c r="A4" s="204" t="s">
        <v>889</v>
      </c>
      <c r="B4" s="169"/>
      <c r="C4" s="189"/>
      <c r="D4" s="189"/>
      <c r="E4" s="736"/>
      <c r="F4" s="219"/>
      <c r="G4" s="189"/>
      <c r="H4" s="189"/>
      <c r="I4" s="192"/>
      <c r="J4" s="219"/>
      <c r="K4" s="189"/>
      <c r="L4" s="736"/>
    </row>
    <row r="5" spans="1:12" ht="11.25" customHeight="1" x14ac:dyDescent="0.25">
      <c r="A5" s="211" t="s">
        <v>784</v>
      </c>
      <c r="B5" s="171"/>
      <c r="C5" s="81"/>
      <c r="D5" s="81"/>
      <c r="E5" s="681"/>
      <c r="F5" s="84"/>
      <c r="G5" s="81"/>
      <c r="H5" s="81"/>
      <c r="I5" s="82"/>
      <c r="J5" s="84"/>
      <c r="K5" s="81"/>
      <c r="L5" s="681"/>
    </row>
    <row r="6" spans="1:12" ht="11.25" customHeight="1" x14ac:dyDescent="0.25">
      <c r="A6" s="128" t="s">
        <v>2186</v>
      </c>
      <c r="B6" s="171"/>
      <c r="C6" s="2088">
        <v>12251690</v>
      </c>
      <c r="D6" s="2088">
        <v>29830571</v>
      </c>
      <c r="E6" s="2091">
        <v>25771581</v>
      </c>
      <c r="F6" s="2601">
        <v>26766355.149999999</v>
      </c>
      <c r="G6" s="2088">
        <v>26766355.149999999</v>
      </c>
      <c r="H6" s="2088">
        <v>26766355.149999999</v>
      </c>
      <c r="I6" s="2106">
        <v>26766355.149999999</v>
      </c>
      <c r="J6" s="927">
        <f>'SA30'!N5+'SA30'!N6</f>
        <v>28372336.459000003</v>
      </c>
      <c r="K6" s="923">
        <f>'SA30'!O5+'SA30'!O6</f>
        <v>30074676.646540001</v>
      </c>
      <c r="L6" s="1009">
        <f>'SA30'!P5+'SA30'!P6</f>
        <v>31879157.245332401</v>
      </c>
    </row>
    <row r="7" spans="1:12" ht="11.25" customHeight="1" x14ac:dyDescent="0.25">
      <c r="A7" s="128" t="s">
        <v>1535</v>
      </c>
      <c r="B7" s="171"/>
      <c r="C7" s="2088">
        <v>40490857</v>
      </c>
      <c r="D7" s="2088">
        <v>36994241</v>
      </c>
      <c r="E7" s="2091">
        <v>40764929</v>
      </c>
      <c r="F7" s="2601">
        <v>50356628.200000003</v>
      </c>
      <c r="G7" s="2601">
        <v>50356628.200000003</v>
      </c>
      <c r="H7" s="2090">
        <v>54223957.119999997</v>
      </c>
      <c r="I7" s="2090">
        <v>54223957.119999997</v>
      </c>
      <c r="J7" s="927">
        <f>'SA30'!N7+'SA30'!N8+'SA30'!N9+'SA30'!N10+'SA30'!N11</f>
        <v>58722181.671920009</v>
      </c>
      <c r="K7" s="923">
        <f>'SA30'!O7+'SA30'!O8+'SA30'!O9+'SA30'!O10+'SA30'!O11</f>
        <v>62245512.572235197</v>
      </c>
      <c r="L7" s="1009">
        <f>'SA30'!P7+'SA30'!P8+'SA30'!P9+'SA30'!P10+'SA30'!P11</f>
        <v>65980243.326569311</v>
      </c>
    </row>
    <row r="8" spans="1:12" ht="11.25" customHeight="1" x14ac:dyDescent="0.25">
      <c r="A8" s="128" t="s">
        <v>1489</v>
      </c>
      <c r="B8" s="171"/>
      <c r="C8" s="2088">
        <v>4545551</v>
      </c>
      <c r="D8" s="2088">
        <v>9115416</v>
      </c>
      <c r="E8" s="2091">
        <v>11628677</v>
      </c>
      <c r="F8" s="2601">
        <v>20646232.16</v>
      </c>
      <c r="G8" s="2088">
        <v>21813743.07</v>
      </c>
      <c r="H8" s="2088">
        <v>14934532.15</v>
      </c>
      <c r="I8" s="2088">
        <v>14934532.15</v>
      </c>
      <c r="J8" s="927">
        <f>'SA30'!N12+'SA30'!N16+'SA30'!N17+'SA30'!N18+'SA30'!N20</f>
        <v>17766782.204400003</v>
      </c>
      <c r="K8" s="923">
        <f>'SA30'!O12+'SA30'!O16+'SA30'!O17+'SA30'!O18+'SA30'!O20</f>
        <v>18832789.226464</v>
      </c>
      <c r="L8" s="1009">
        <f>'SA30'!P12+'SA30'!P16+'SA30'!P17+'SA30'!P18+'SA30'!P20</f>
        <v>19962757.02045184</v>
      </c>
    </row>
    <row r="9" spans="1:12" ht="11.25" customHeight="1" x14ac:dyDescent="0.25">
      <c r="A9" s="203" t="s">
        <v>1415</v>
      </c>
      <c r="B9" s="171">
        <v>1</v>
      </c>
      <c r="C9" s="2088">
        <v>76140048</v>
      </c>
      <c r="D9" s="2088">
        <v>81383968</v>
      </c>
      <c r="E9" s="2091">
        <v>94712291</v>
      </c>
      <c r="F9" s="2601">
        <v>122308000</v>
      </c>
      <c r="G9" s="2088">
        <v>122308000</v>
      </c>
      <c r="H9" s="2088">
        <v>122308000</v>
      </c>
      <c r="I9" s="2106">
        <v>122308000</v>
      </c>
      <c r="J9" s="927">
        <f>'SA30'!N19</f>
        <v>121374000</v>
      </c>
      <c r="K9" s="923">
        <f>'SA30'!O19</f>
        <v>129936000</v>
      </c>
      <c r="L9" s="1009">
        <f>'SA30'!P19</f>
        <v>136610000</v>
      </c>
    </row>
    <row r="10" spans="1:12" ht="11.25" customHeight="1" x14ac:dyDescent="0.25">
      <c r="A10" s="203" t="s">
        <v>1416</v>
      </c>
      <c r="B10" s="171">
        <v>1</v>
      </c>
      <c r="C10" s="2088">
        <v>27406238</v>
      </c>
      <c r="D10" s="2088">
        <v>17905588</v>
      </c>
      <c r="E10" s="2091">
        <v>31583815</v>
      </c>
      <c r="F10" s="2090">
        <v>32405000</v>
      </c>
      <c r="G10" s="2090">
        <v>32405000</v>
      </c>
      <c r="H10" s="2088">
        <v>35416882</v>
      </c>
      <c r="I10" s="2106">
        <v>35416882</v>
      </c>
      <c r="J10" s="927">
        <f>'SA30'!N24</f>
        <v>31917000</v>
      </c>
      <c r="K10" s="923">
        <f>'SA30'!O24</f>
        <v>34179000</v>
      </c>
      <c r="L10" s="1009">
        <f>'SA30'!P24</f>
        <v>36987000</v>
      </c>
    </row>
    <row r="11" spans="1:12" ht="11.25" customHeight="1" x14ac:dyDescent="0.25">
      <c r="A11" s="203" t="s">
        <v>327</v>
      </c>
      <c r="B11" s="171"/>
      <c r="C11" s="2088">
        <v>5432876</v>
      </c>
      <c r="D11" s="2088">
        <v>5315725</v>
      </c>
      <c r="E11" s="2091">
        <v>4979204</v>
      </c>
      <c r="F11" s="2090">
        <v>4692135.18</v>
      </c>
      <c r="G11" s="2088">
        <v>5492135.1799999997</v>
      </c>
      <c r="H11" s="2088">
        <v>5492135.1799999997</v>
      </c>
      <c r="I11" s="2088">
        <v>5492135.1799999997</v>
      </c>
      <c r="J11" s="927">
        <f>'SA30'!N13+'SA30'!N14</f>
        <v>3616565.0279999999</v>
      </c>
      <c r="K11" s="923">
        <f>'SA30'!O13+'SA30'!O14</f>
        <v>3833558.9296800001</v>
      </c>
      <c r="L11" s="1009">
        <f>'SA30'!P13+'SA30'!P14</f>
        <v>4063572.4654608001</v>
      </c>
    </row>
    <row r="12" spans="1:12" ht="11.25" customHeight="1" x14ac:dyDescent="0.25">
      <c r="A12" s="203" t="s">
        <v>577</v>
      </c>
      <c r="B12" s="171"/>
      <c r="C12" s="2088"/>
      <c r="D12" s="2088"/>
      <c r="E12" s="2091"/>
      <c r="F12" s="2090"/>
      <c r="G12" s="2088"/>
      <c r="H12" s="2088"/>
      <c r="I12" s="2106"/>
      <c r="J12" s="927">
        <f>'SA30'!N15</f>
        <v>0</v>
      </c>
      <c r="K12" s="923">
        <f>'SA30'!O15</f>
        <v>0</v>
      </c>
      <c r="L12" s="1009">
        <f>'SA30'!P15</f>
        <v>0</v>
      </c>
    </row>
    <row r="13" spans="1:12" ht="11.25" customHeight="1" x14ac:dyDescent="0.25">
      <c r="A13" s="211" t="s">
        <v>785</v>
      </c>
      <c r="B13" s="171"/>
      <c r="C13" s="85"/>
      <c r="D13" s="81"/>
      <c r="E13" s="681"/>
      <c r="F13" s="84"/>
      <c r="G13" s="81"/>
      <c r="H13" s="81"/>
      <c r="I13" s="82"/>
      <c r="J13" s="1083"/>
      <c r="K13" s="1079"/>
      <c r="L13" s="1617"/>
    </row>
    <row r="14" spans="1:12" ht="11.25" customHeight="1" x14ac:dyDescent="0.25">
      <c r="A14" s="203" t="s">
        <v>1417</v>
      </c>
      <c r="B14" s="171"/>
      <c r="C14" s="2088">
        <v>-109298960</v>
      </c>
      <c r="D14" s="2088">
        <v>-121631732</v>
      </c>
      <c r="E14" s="2091">
        <v>-128757199</v>
      </c>
      <c r="F14" s="2601">
        <v>-188639967.47999999</v>
      </c>
      <c r="G14" s="2088">
        <v>-185218597.03999999</v>
      </c>
      <c r="H14" s="2088">
        <v>-185218597.03999999</v>
      </c>
      <c r="I14" s="2088">
        <v>-185218597.03999999</v>
      </c>
      <c r="J14" s="927">
        <f>-('SA30'!N36+'SA30'!N37+'SA30'!N39+'SA30'!N40+'SA30'!N41+'SA30'!N42+'SA30'!N45+'SA30'!N51)</f>
        <v>-190847853.81036001</v>
      </c>
      <c r="K14" s="923">
        <f>-('SA30'!O36+'SA30'!O37+'SA30'!O39+'SA30'!O40+'SA30'!O41+'SA30'!O42+'SA30'!O45+'SA30'!O51)</f>
        <v>-201184644.5812816</v>
      </c>
      <c r="L14" s="1009">
        <f>-('SA30'!P36+'SA30'!P37+'SA30'!P39+'SA30'!P40+'SA30'!P41+'SA30'!P42+'SA30'!P45+'SA30'!P51)</f>
        <v>-213382013.24023449</v>
      </c>
    </row>
    <row r="15" spans="1:12" ht="11.25" customHeight="1" x14ac:dyDescent="0.25">
      <c r="A15" s="203" t="s">
        <v>1488</v>
      </c>
      <c r="B15" s="171"/>
      <c r="C15" s="2088"/>
      <c r="D15" s="2088">
        <v>-1432117</v>
      </c>
      <c r="E15" s="2091">
        <v>-1785276</v>
      </c>
      <c r="F15" s="2090">
        <v>-752812</v>
      </c>
      <c r="G15" s="2090">
        <v>-752812</v>
      </c>
      <c r="H15" s="2090">
        <v>-752812</v>
      </c>
      <c r="I15" s="2090">
        <v>-752812</v>
      </c>
      <c r="J15" s="927">
        <f>-('SA30'!N38)</f>
        <v>-797980.72</v>
      </c>
      <c r="K15" s="923">
        <f>-('SA30'!O38)</f>
        <v>-845859.56319999998</v>
      </c>
      <c r="L15" s="1009">
        <f>-('SA30'!P38)</f>
        <v>-896611.13699199993</v>
      </c>
    </row>
    <row r="16" spans="1:12" ht="11.25" customHeight="1" x14ac:dyDescent="0.25">
      <c r="A16" s="203" t="s">
        <v>1229</v>
      </c>
      <c r="B16" s="171">
        <v>1</v>
      </c>
      <c r="C16" s="2127"/>
      <c r="D16" s="2127">
        <v>-1173633</v>
      </c>
      <c r="E16" s="2128"/>
      <c r="F16" s="2129"/>
      <c r="G16" s="2129"/>
      <c r="H16" s="2129"/>
      <c r="I16" s="2129"/>
      <c r="J16" s="1006">
        <f>-('SA30'!N43+'SA30'!N44)</f>
        <v>-2749886.22</v>
      </c>
      <c r="K16" s="1002">
        <f>-('SA30'!O43+'SA30'!O44)</f>
        <v>-2914879.86</v>
      </c>
      <c r="L16" s="2055">
        <f>-('SA30'!P43+'SA30'!P44)</f>
        <v>-3089772.66</v>
      </c>
    </row>
    <row r="17" spans="1:12" ht="11.25" customHeight="1" x14ac:dyDescent="0.25">
      <c r="A17" s="220" t="s">
        <v>655</v>
      </c>
      <c r="B17" s="221"/>
      <c r="C17" s="686">
        <f t="shared" ref="C17:L17" si="0">SUM(C6:C12)+SUM(C14:C16)</f>
        <v>56968300</v>
      </c>
      <c r="D17" s="686">
        <f t="shared" si="0"/>
        <v>56308027</v>
      </c>
      <c r="E17" s="687">
        <f t="shared" si="0"/>
        <v>78898022</v>
      </c>
      <c r="F17" s="688">
        <f t="shared" si="0"/>
        <v>67781571.210000008</v>
      </c>
      <c r="G17" s="686">
        <f t="shared" si="0"/>
        <v>73170452.560000002</v>
      </c>
      <c r="H17" s="686">
        <f t="shared" si="0"/>
        <v>73170452.560000032</v>
      </c>
      <c r="I17" s="689">
        <f t="shared" si="0"/>
        <v>73170452.560000032</v>
      </c>
      <c r="J17" s="1194">
        <f t="shared" si="0"/>
        <v>67373144.612959981</v>
      </c>
      <c r="K17" s="1193">
        <f t="shared" si="0"/>
        <v>74156153.370437562</v>
      </c>
      <c r="L17" s="1360">
        <f t="shared" si="0"/>
        <v>78114333.020587862</v>
      </c>
    </row>
    <row r="18" spans="1:12" ht="5.0999999999999996" customHeight="1" x14ac:dyDescent="0.25">
      <c r="A18" s="79"/>
      <c r="B18" s="171"/>
      <c r="C18" s="81"/>
      <c r="D18" s="81"/>
      <c r="E18" s="82"/>
      <c r="F18" s="83"/>
      <c r="G18" s="81"/>
      <c r="H18" s="81"/>
      <c r="I18" s="80"/>
      <c r="J18" s="1083"/>
      <c r="K18" s="1079"/>
      <c r="L18" s="1617"/>
    </row>
    <row r="19" spans="1:12" ht="11.25" customHeight="1" x14ac:dyDescent="0.25">
      <c r="A19" s="204" t="s">
        <v>280</v>
      </c>
      <c r="B19" s="171"/>
      <c r="C19" s="81"/>
      <c r="D19" s="81"/>
      <c r="E19" s="82"/>
      <c r="F19" s="83"/>
      <c r="G19" s="81"/>
      <c r="H19" s="81"/>
      <c r="I19" s="80"/>
      <c r="J19" s="1083"/>
      <c r="K19" s="1079"/>
      <c r="L19" s="1617"/>
    </row>
    <row r="20" spans="1:12" ht="11.25" customHeight="1" x14ac:dyDescent="0.25">
      <c r="A20" s="204" t="s">
        <v>784</v>
      </c>
      <c r="B20" s="171"/>
      <c r="C20" s="96"/>
      <c r="D20" s="96"/>
      <c r="E20" s="97"/>
      <c r="F20" s="98"/>
      <c r="G20" s="96"/>
      <c r="H20" s="96"/>
      <c r="I20" s="95"/>
      <c r="J20" s="2056"/>
      <c r="K20" s="2057"/>
      <c r="L20" s="2058"/>
    </row>
    <row r="21" spans="1:12" ht="11.25" customHeight="1" x14ac:dyDescent="0.25">
      <c r="A21" s="203" t="s">
        <v>1462</v>
      </c>
      <c r="B21" s="171"/>
      <c r="C21" s="2088"/>
      <c r="D21" s="2088">
        <v>1478489</v>
      </c>
      <c r="E21" s="2106">
        <v>1305664</v>
      </c>
      <c r="F21" s="2114"/>
      <c r="G21" s="2110"/>
      <c r="H21" s="2110"/>
      <c r="I21" s="2108"/>
      <c r="J21" s="1322">
        <f>'SA30'!N25+'SA30'!N26</f>
        <v>0</v>
      </c>
      <c r="K21" s="1318">
        <f>'SA30'!O25+'SA30'!O26</f>
        <v>0</v>
      </c>
      <c r="L21" s="2059">
        <f>'SA30'!P25+'SA30'!P26</f>
        <v>0</v>
      </c>
    </row>
    <row r="22" spans="1:12" ht="11.25" customHeight="1" x14ac:dyDescent="0.25">
      <c r="A22" s="203" t="s">
        <v>1191</v>
      </c>
      <c r="B22" s="171"/>
      <c r="C22" s="2088"/>
      <c r="D22" s="2110">
        <v>-77925</v>
      </c>
      <c r="E22" s="2113"/>
      <c r="F22" s="2107"/>
      <c r="G22" s="2088"/>
      <c r="H22" s="2088"/>
      <c r="I22" s="2108"/>
      <c r="J22" s="927">
        <f>'SA30'!N30</f>
        <v>0</v>
      </c>
      <c r="K22" s="923">
        <f>'SA30'!O30</f>
        <v>0</v>
      </c>
      <c r="L22" s="1009">
        <f>'SA30'!P30</f>
        <v>0</v>
      </c>
    </row>
    <row r="23" spans="1:12" ht="11.25" customHeight="1" x14ac:dyDescent="0.25">
      <c r="A23" s="203" t="s">
        <v>653</v>
      </c>
      <c r="B23" s="171"/>
      <c r="C23" s="2110">
        <v>-371171</v>
      </c>
      <c r="D23" s="2088"/>
      <c r="E23" s="2106"/>
      <c r="F23" s="2114"/>
      <c r="G23" s="2110"/>
      <c r="H23" s="2110"/>
      <c r="I23" s="2108"/>
      <c r="J23" s="1322">
        <f>'SA30'!N31</f>
        <v>0</v>
      </c>
      <c r="K23" s="1318">
        <f>'SA30'!O31</f>
        <v>0</v>
      </c>
      <c r="L23" s="2059">
        <f>'SA30'!P31</f>
        <v>0</v>
      </c>
    </row>
    <row r="24" spans="1:12" ht="11.25" customHeight="1" x14ac:dyDescent="0.25">
      <c r="A24" s="203" t="s">
        <v>654</v>
      </c>
      <c r="B24" s="171"/>
      <c r="C24" s="2088">
        <v>-100926</v>
      </c>
      <c r="D24" s="2088"/>
      <c r="E24" s="2106"/>
      <c r="F24" s="2107"/>
      <c r="G24" s="2088"/>
      <c r="H24" s="2088"/>
      <c r="I24" s="2108"/>
      <c r="J24" s="927">
        <f>'SA30'!N32</f>
        <v>0</v>
      </c>
      <c r="K24" s="923">
        <f>'SA30'!O32</f>
        <v>0</v>
      </c>
      <c r="L24" s="1009">
        <f>'SA30'!P32</f>
        <v>0</v>
      </c>
    </row>
    <row r="25" spans="1:12" ht="11.25" customHeight="1" x14ac:dyDescent="0.25">
      <c r="A25" s="204" t="s">
        <v>785</v>
      </c>
      <c r="B25" s="171"/>
      <c r="C25" s="1148"/>
      <c r="D25" s="1148"/>
      <c r="E25" s="1188"/>
      <c r="F25" s="1189"/>
      <c r="G25" s="1148"/>
      <c r="H25" s="1148"/>
      <c r="I25" s="1190"/>
      <c r="J25" s="927"/>
      <c r="K25" s="923"/>
      <c r="L25" s="1009"/>
    </row>
    <row r="26" spans="1:12" ht="11.25" customHeight="1" x14ac:dyDescent="0.25">
      <c r="A26" s="68" t="s">
        <v>1418</v>
      </c>
      <c r="B26" s="171"/>
      <c r="C26" s="2088">
        <v>-34580099</v>
      </c>
      <c r="D26" s="2088"/>
      <c r="E26" s="2106">
        <v>46508203</v>
      </c>
      <c r="F26" s="2107">
        <v>-70815213.200000003</v>
      </c>
      <c r="G26" s="2088">
        <v>-68454956.049999997</v>
      </c>
      <c r="H26" s="2088">
        <v>-68454956.049999997</v>
      </c>
      <c r="I26" s="2108">
        <v>-68454956.049999997</v>
      </c>
      <c r="J26" s="927">
        <f>-('SA30'!N49)</f>
        <v>-65507957.5</v>
      </c>
      <c r="K26" s="923">
        <f>-('SA30'!O49)</f>
        <v>-68590434.950000003</v>
      </c>
      <c r="L26" s="1009">
        <f>-('SA30'!P49)</f>
        <v>-72705861.049999997</v>
      </c>
    </row>
    <row r="27" spans="1:12" ht="11.25" customHeight="1" x14ac:dyDescent="0.25">
      <c r="A27" s="220" t="s">
        <v>656</v>
      </c>
      <c r="B27" s="221"/>
      <c r="C27" s="686">
        <f>SUM(C21:C24)+C26</f>
        <v>-35052196</v>
      </c>
      <c r="D27" s="686">
        <f t="shared" ref="D27:L27" si="1">SUM(D21:D24)+D26</f>
        <v>1400564</v>
      </c>
      <c r="E27" s="687">
        <f t="shared" si="1"/>
        <v>47813867</v>
      </c>
      <c r="F27" s="688">
        <f t="shared" si="1"/>
        <v>-70815213.200000003</v>
      </c>
      <c r="G27" s="686">
        <f t="shared" si="1"/>
        <v>-68454956.049999997</v>
      </c>
      <c r="H27" s="686">
        <f t="shared" si="1"/>
        <v>-68454956.049999997</v>
      </c>
      <c r="I27" s="689">
        <f t="shared" si="1"/>
        <v>-68454956.049999997</v>
      </c>
      <c r="J27" s="1194">
        <f t="shared" si="1"/>
        <v>-65507957.5</v>
      </c>
      <c r="K27" s="1193">
        <f t="shared" si="1"/>
        <v>-68590434.950000003</v>
      </c>
      <c r="L27" s="1360">
        <f t="shared" si="1"/>
        <v>-72705861.049999997</v>
      </c>
    </row>
    <row r="28" spans="1:12" ht="5.0999999999999996" customHeight="1" x14ac:dyDescent="0.25">
      <c r="A28" s="79"/>
      <c r="B28" s="171"/>
      <c r="C28" s="81"/>
      <c r="D28" s="81"/>
      <c r="E28" s="82"/>
      <c r="F28" s="83"/>
      <c r="G28" s="81"/>
      <c r="H28" s="81"/>
      <c r="I28" s="80"/>
      <c r="J28" s="1083"/>
      <c r="K28" s="1079"/>
      <c r="L28" s="1617"/>
    </row>
    <row r="29" spans="1:12" ht="11.25" customHeight="1" x14ac:dyDescent="0.25">
      <c r="A29" s="204" t="s">
        <v>1242</v>
      </c>
      <c r="B29" s="171"/>
      <c r="C29" s="81"/>
      <c r="D29" s="81"/>
      <c r="E29" s="82"/>
      <c r="F29" s="83"/>
      <c r="G29" s="81"/>
      <c r="H29" s="81"/>
      <c r="I29" s="80"/>
      <c r="J29" s="1083"/>
      <c r="K29" s="1079"/>
      <c r="L29" s="1617"/>
    </row>
    <row r="30" spans="1:12" ht="11.25" customHeight="1" x14ac:dyDescent="0.25">
      <c r="A30" s="204" t="s">
        <v>784</v>
      </c>
      <c r="B30" s="171"/>
      <c r="C30" s="81"/>
      <c r="D30" s="81"/>
      <c r="E30" s="82"/>
      <c r="F30" s="83"/>
      <c r="G30" s="81"/>
      <c r="H30" s="81"/>
      <c r="I30" s="80"/>
      <c r="J30" s="1083"/>
      <c r="K30" s="1079"/>
      <c r="L30" s="1617"/>
    </row>
    <row r="31" spans="1:12" ht="11.25" customHeight="1" x14ac:dyDescent="0.25">
      <c r="A31" s="68" t="s">
        <v>787</v>
      </c>
      <c r="B31" s="171"/>
      <c r="C31" s="2088"/>
      <c r="D31" s="2088">
        <v>182276</v>
      </c>
      <c r="E31" s="2106"/>
      <c r="F31" s="2107"/>
      <c r="G31" s="2088"/>
      <c r="H31" s="2088"/>
      <c r="I31" s="2108"/>
      <c r="J31" s="927">
        <f>'SA30'!N27</f>
        <v>0</v>
      </c>
      <c r="K31" s="923">
        <f>'SA30'!O27</f>
        <v>0</v>
      </c>
      <c r="L31" s="1009">
        <f>'SA30'!P27</f>
        <v>0</v>
      </c>
    </row>
    <row r="32" spans="1:12" ht="11.25" customHeight="1" x14ac:dyDescent="0.25">
      <c r="A32" s="203" t="s">
        <v>752</v>
      </c>
      <c r="B32" s="171"/>
      <c r="C32" s="2088"/>
      <c r="D32" s="2088">
        <v>815869</v>
      </c>
      <c r="E32" s="2106"/>
      <c r="F32" s="2107"/>
      <c r="G32" s="2088"/>
      <c r="H32" s="2088"/>
      <c r="I32" s="2108"/>
      <c r="J32" s="927">
        <f>'SA30'!N28</f>
        <v>0</v>
      </c>
      <c r="K32" s="923">
        <f>'SA30'!O28</f>
        <v>0</v>
      </c>
      <c r="L32" s="1009">
        <f>'SA30'!P28</f>
        <v>0</v>
      </c>
    </row>
    <row r="33" spans="1:16" ht="11.25" customHeight="1" x14ac:dyDescent="0.25">
      <c r="A33" s="203" t="s">
        <v>364</v>
      </c>
      <c r="B33" s="171"/>
      <c r="C33" s="2088"/>
      <c r="D33" s="2088"/>
      <c r="E33" s="2106"/>
      <c r="F33" s="2107"/>
      <c r="G33" s="2110"/>
      <c r="H33" s="2110"/>
      <c r="I33" s="2115"/>
      <c r="J33" s="927">
        <f>'SA30'!N29</f>
        <v>0</v>
      </c>
      <c r="K33" s="923">
        <f>'SA30'!O29</f>
        <v>0</v>
      </c>
      <c r="L33" s="1009">
        <f>'SA30'!P29</f>
        <v>0</v>
      </c>
    </row>
    <row r="34" spans="1:16" ht="11.25" customHeight="1" x14ac:dyDescent="0.25">
      <c r="A34" s="211" t="s">
        <v>785</v>
      </c>
      <c r="B34" s="171"/>
      <c r="C34" s="1148"/>
      <c r="D34" s="1148"/>
      <c r="E34" s="1188"/>
      <c r="F34" s="1189"/>
      <c r="G34" s="1148"/>
      <c r="H34" s="1148"/>
      <c r="I34" s="1190"/>
      <c r="J34" s="927"/>
      <c r="K34" s="923"/>
      <c r="L34" s="1009"/>
    </row>
    <row r="35" spans="1:16" ht="11.25" customHeight="1" x14ac:dyDescent="0.25">
      <c r="A35" s="203" t="s">
        <v>786</v>
      </c>
      <c r="B35" s="171"/>
      <c r="C35" s="2088">
        <v>-2716000</v>
      </c>
      <c r="D35" s="2088"/>
      <c r="E35" s="2106">
        <v>1573670</v>
      </c>
      <c r="F35" s="2107">
        <v>-2809000</v>
      </c>
      <c r="G35" s="2088">
        <v>-2009000</v>
      </c>
      <c r="H35" s="2088">
        <v>-2009000</v>
      </c>
      <c r="I35" s="2088">
        <v>-2009000</v>
      </c>
      <c r="J35" s="927">
        <f>-('SA30'!N50)</f>
        <v>-1865187.16</v>
      </c>
      <c r="K35" s="923">
        <f>-('SA30'!O50)</f>
        <v>-1977098.3895999999</v>
      </c>
      <c r="L35" s="1009">
        <f>-('SA30'!P50)</f>
        <v>-2095724.2929759999</v>
      </c>
    </row>
    <row r="36" spans="1:16" ht="11.25" customHeight="1" x14ac:dyDescent="0.25">
      <c r="A36" s="220" t="s">
        <v>783</v>
      </c>
      <c r="B36" s="221"/>
      <c r="C36" s="686">
        <f>SUM(C31:C33)+C35</f>
        <v>-2716000</v>
      </c>
      <c r="D36" s="686">
        <f t="shared" ref="D36:L36" si="2">SUM(D31:D33)+D35</f>
        <v>998145</v>
      </c>
      <c r="E36" s="687">
        <f t="shared" si="2"/>
        <v>1573670</v>
      </c>
      <c r="F36" s="688">
        <f t="shared" si="2"/>
        <v>-2809000</v>
      </c>
      <c r="G36" s="686">
        <f t="shared" si="2"/>
        <v>-2009000</v>
      </c>
      <c r="H36" s="686">
        <f t="shared" si="2"/>
        <v>-2009000</v>
      </c>
      <c r="I36" s="689">
        <f t="shared" si="2"/>
        <v>-2009000</v>
      </c>
      <c r="J36" s="1194">
        <f t="shared" si="2"/>
        <v>-1865187.16</v>
      </c>
      <c r="K36" s="1193">
        <f t="shared" si="2"/>
        <v>-1977098.3895999999</v>
      </c>
      <c r="L36" s="1360">
        <f t="shared" si="2"/>
        <v>-2095724.2929759999</v>
      </c>
    </row>
    <row r="37" spans="1:16" ht="5.0999999999999996" customHeight="1" x14ac:dyDescent="0.25">
      <c r="A37" s="79"/>
      <c r="B37" s="171"/>
      <c r="C37" s="81"/>
      <c r="D37" s="81"/>
      <c r="E37" s="82"/>
      <c r="F37" s="83"/>
      <c r="G37" s="81"/>
      <c r="H37" s="81"/>
      <c r="I37" s="80"/>
      <c r="J37" s="1083"/>
      <c r="K37" s="1079"/>
      <c r="L37" s="1617"/>
    </row>
    <row r="38" spans="1:16" ht="11.25" customHeight="1" x14ac:dyDescent="0.25">
      <c r="A38" s="204" t="s">
        <v>1497</v>
      </c>
      <c r="B38" s="171"/>
      <c r="C38" s="96">
        <f>C17+C27+C36</f>
        <v>19200104</v>
      </c>
      <c r="D38" s="96">
        <f t="shared" ref="D38:L38" si="3">D17+D27+D36</f>
        <v>58706736</v>
      </c>
      <c r="E38" s="97">
        <f t="shared" si="3"/>
        <v>128285559</v>
      </c>
      <c r="F38" s="98">
        <f t="shared" si="3"/>
        <v>-5842641.9899999946</v>
      </c>
      <c r="G38" s="96">
        <f t="shared" si="3"/>
        <v>2706496.5100000054</v>
      </c>
      <c r="H38" s="96">
        <f t="shared" si="3"/>
        <v>2706496.5100000352</v>
      </c>
      <c r="I38" s="95">
        <f t="shared" si="3"/>
        <v>2706496.5100000352</v>
      </c>
      <c r="J38" s="2056">
        <f t="shared" si="3"/>
        <v>-4.7040018951520324E-2</v>
      </c>
      <c r="K38" s="2057">
        <f t="shared" si="3"/>
        <v>3588620.0308375596</v>
      </c>
      <c r="L38" s="2058">
        <f t="shared" si="3"/>
        <v>3312747.6776118646</v>
      </c>
    </row>
    <row r="39" spans="1:16" ht="11.25" customHeight="1" x14ac:dyDescent="0.25">
      <c r="A39" s="68" t="s">
        <v>890</v>
      </c>
      <c r="B39" s="171">
        <v>2</v>
      </c>
      <c r="C39" s="2121">
        <v>13229714</v>
      </c>
      <c r="D39" s="2121">
        <v>32429817</v>
      </c>
      <c r="E39" s="2121">
        <v>49745011</v>
      </c>
      <c r="F39" s="2601">
        <v>81866824</v>
      </c>
      <c r="G39" s="2121">
        <v>81866824</v>
      </c>
      <c r="H39" s="2121">
        <v>81866824</v>
      </c>
      <c r="I39" s="2121">
        <v>81866824</v>
      </c>
      <c r="J39" s="994">
        <f>'SA30'!N55</f>
        <v>0</v>
      </c>
      <c r="K39" s="2057">
        <f>J40</f>
        <v>-4.7040018951520324E-2</v>
      </c>
      <c r="L39" s="2058">
        <f>K40</f>
        <v>3588619.9837975409</v>
      </c>
    </row>
    <row r="40" spans="1:16" ht="11.25" customHeight="1" x14ac:dyDescent="0.25">
      <c r="A40" s="1172" t="s">
        <v>1230</v>
      </c>
      <c r="B40" s="225">
        <v>2</v>
      </c>
      <c r="C40" s="161">
        <f>C38+C39</f>
        <v>32429818</v>
      </c>
      <c r="D40" s="226">
        <f>D38+D39</f>
        <v>91136553</v>
      </c>
      <c r="E40" s="162">
        <f>E38+E39</f>
        <v>178030570</v>
      </c>
      <c r="F40" s="163">
        <f t="shared" ref="F40:L40" si="4">F38+F39</f>
        <v>76024182.010000005</v>
      </c>
      <c r="G40" s="161">
        <f t="shared" si="4"/>
        <v>84573320.510000005</v>
      </c>
      <c r="H40" s="161">
        <f t="shared" si="4"/>
        <v>84573320.510000035</v>
      </c>
      <c r="I40" s="884">
        <f t="shared" si="4"/>
        <v>84573320.510000035</v>
      </c>
      <c r="J40" s="2060">
        <f t="shared" si="4"/>
        <v>-4.7040018951520324E-2</v>
      </c>
      <c r="K40" s="2061">
        <f t="shared" si="4"/>
        <v>3588619.9837975409</v>
      </c>
      <c r="L40" s="2062">
        <f t="shared" si="4"/>
        <v>6901367.661409406</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1077</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891</v>
      </c>
      <c r="B43" s="1091"/>
      <c r="C43" s="1094"/>
      <c r="D43" s="1094"/>
      <c r="E43" s="1095"/>
      <c r="F43" s="1095"/>
      <c r="G43" s="1095"/>
      <c r="H43" s="1095"/>
      <c r="I43" s="1095"/>
      <c r="J43" s="1095"/>
      <c r="K43" s="1095"/>
      <c r="L43" s="1095"/>
      <c r="N43" s="27"/>
      <c r="O43" s="27"/>
      <c r="P43" s="27"/>
    </row>
    <row r="44" spans="1:16" ht="11.25" customHeight="1" x14ac:dyDescent="0.25">
      <c r="A44" s="2052" t="s">
        <v>2188</v>
      </c>
      <c r="B44" s="1051"/>
      <c r="C44" s="1097"/>
      <c r="D44" s="1097"/>
      <c r="E44" s="1123"/>
      <c r="F44" s="1098"/>
      <c r="G44" s="1098"/>
      <c r="H44" s="1098"/>
      <c r="I44" s="1098"/>
      <c r="J44" s="1098"/>
      <c r="K44" s="1098"/>
      <c r="L44" s="1098"/>
    </row>
    <row r="45" spans="1:16" ht="11.25" customHeight="1" x14ac:dyDescent="0.25">
      <c r="A45" s="1122" t="s">
        <v>580</v>
      </c>
      <c r="B45" s="1091"/>
      <c r="C45" s="1082">
        <f t="shared" ref="C45:L45" si="5">SUM(C6:C12)+SUM(C21:C23)</f>
        <v>165896089</v>
      </c>
      <c r="D45" s="1082">
        <f t="shared" si="5"/>
        <v>181946073</v>
      </c>
      <c r="E45" s="1082">
        <f t="shared" si="5"/>
        <v>210746161</v>
      </c>
      <c r="F45" s="1082">
        <f t="shared" si="5"/>
        <v>257174350.69</v>
      </c>
      <c r="G45" s="1082">
        <f t="shared" si="5"/>
        <v>259141861.59999999</v>
      </c>
      <c r="H45" s="1082">
        <f t="shared" si="5"/>
        <v>259141861.60000002</v>
      </c>
      <c r="I45" s="1082">
        <f t="shared" si="5"/>
        <v>259141861.60000002</v>
      </c>
      <c r="J45" s="1082">
        <f t="shared" si="5"/>
        <v>261768865.36331999</v>
      </c>
      <c r="K45" s="1082">
        <f t="shared" si="5"/>
        <v>279101537.37491918</v>
      </c>
      <c r="L45" s="1082">
        <f t="shared" si="5"/>
        <v>295482730.05781436</v>
      </c>
    </row>
    <row r="46" spans="1:16" ht="11.25" customHeight="1" x14ac:dyDescent="0.25">
      <c r="A46" s="1122" t="s">
        <v>263</v>
      </c>
      <c r="B46" s="1091"/>
      <c r="C46" s="1082">
        <f>SUM(C14:C16)+C26</f>
        <v>-143879059</v>
      </c>
      <c r="D46" s="1082">
        <f t="shared" ref="D46:L46" si="6">SUM(D14:D16)+D26</f>
        <v>-124237482</v>
      </c>
      <c r="E46" s="1082">
        <f t="shared" si="6"/>
        <v>-84034272</v>
      </c>
      <c r="F46" s="1082">
        <f t="shared" si="6"/>
        <v>-260207992.68000001</v>
      </c>
      <c r="G46" s="1082">
        <f t="shared" si="6"/>
        <v>-254426365.08999997</v>
      </c>
      <c r="H46" s="1082">
        <f t="shared" si="6"/>
        <v>-254426365.08999997</v>
      </c>
      <c r="I46" s="1082">
        <f t="shared" si="6"/>
        <v>-254426365.08999997</v>
      </c>
      <c r="J46" s="1082">
        <f t="shared" si="6"/>
        <v>-259903678.25036001</v>
      </c>
      <c r="K46" s="1082">
        <f t="shared" si="6"/>
        <v>-273535818.9544816</v>
      </c>
      <c r="L46" s="1082">
        <f t="shared" si="6"/>
        <v>-290074258.08722651</v>
      </c>
    </row>
    <row r="47" spans="1:16" ht="11.25" customHeight="1" x14ac:dyDescent="0.25">
      <c r="A47" s="1122"/>
      <c r="B47" s="1091"/>
      <c r="C47" s="1082">
        <f>C45+C46</f>
        <v>22017030</v>
      </c>
      <c r="D47" s="1082">
        <f t="shared" ref="D47:L47" si="7">D45+D46</f>
        <v>57708591</v>
      </c>
      <c r="E47" s="1082">
        <f t="shared" si="7"/>
        <v>126711889</v>
      </c>
      <c r="F47" s="1082">
        <f t="shared" si="7"/>
        <v>-3033641.9900000095</v>
      </c>
      <c r="G47" s="1082">
        <f t="shared" si="7"/>
        <v>4715496.5100000203</v>
      </c>
      <c r="H47" s="1082">
        <f t="shared" si="7"/>
        <v>4715496.5100000501</v>
      </c>
      <c r="I47" s="1082">
        <f t="shared" si="7"/>
        <v>4715496.5100000501</v>
      </c>
      <c r="J47" s="1082">
        <f t="shared" si="7"/>
        <v>1865187.112959981</v>
      </c>
      <c r="K47" s="1082">
        <f t="shared" si="7"/>
        <v>5565718.4204375744</v>
      </c>
      <c r="L47" s="1082">
        <f t="shared" si="7"/>
        <v>5408471.9705878496</v>
      </c>
    </row>
    <row r="48" spans="1:16" ht="11.25" customHeight="1" x14ac:dyDescent="0.25">
      <c r="A48" s="1122" t="s">
        <v>326</v>
      </c>
      <c r="B48" s="581"/>
      <c r="C48" s="1082">
        <f>C24+C32+C33</f>
        <v>-100926</v>
      </c>
      <c r="D48" s="1082">
        <f t="shared" ref="D48:L48" si="8">D24+D32+D33</f>
        <v>815869</v>
      </c>
      <c r="E48" s="1082">
        <f t="shared" si="8"/>
        <v>0</v>
      </c>
      <c r="F48" s="1082">
        <f t="shared" si="8"/>
        <v>0</v>
      </c>
      <c r="G48" s="1082">
        <f t="shared" si="8"/>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-2716000</v>
      </c>
      <c r="D49" s="1082">
        <f t="shared" ref="D49:L49" si="9">D35</f>
        <v>0</v>
      </c>
      <c r="E49" s="1082">
        <f t="shared" si="9"/>
        <v>1573670</v>
      </c>
      <c r="F49" s="1082">
        <f t="shared" si="9"/>
        <v>-2809000</v>
      </c>
      <c r="G49" s="1082">
        <f t="shared" si="9"/>
        <v>-2009000</v>
      </c>
      <c r="H49" s="1082">
        <f t="shared" si="9"/>
        <v>-2009000</v>
      </c>
      <c r="I49" s="1082">
        <f>I35</f>
        <v>-2009000</v>
      </c>
      <c r="J49" s="1082">
        <f t="shared" si="9"/>
        <v>-1865187.16</v>
      </c>
      <c r="K49" s="1082">
        <f t="shared" si="9"/>
        <v>-1977098.3895999999</v>
      </c>
      <c r="L49" s="1082">
        <f t="shared" si="9"/>
        <v>-2095724.2929759999</v>
      </c>
    </row>
    <row r="50" spans="1:12" ht="11.25" customHeight="1" x14ac:dyDescent="0.25">
      <c r="A50" s="584"/>
      <c r="B50" s="581"/>
      <c r="C50" s="1082">
        <f>C47+C48+C49</f>
        <v>19200104</v>
      </c>
      <c r="D50" s="1082">
        <f t="shared" ref="D50:L50" si="10">D47+D48+D49</f>
        <v>58524460</v>
      </c>
      <c r="E50" s="1082">
        <f t="shared" si="10"/>
        <v>128285559</v>
      </c>
      <c r="F50" s="1082">
        <f t="shared" si="10"/>
        <v>-5842641.9900000095</v>
      </c>
      <c r="G50" s="1082">
        <f t="shared" si="10"/>
        <v>2706496.5100000203</v>
      </c>
      <c r="H50" s="1082">
        <f t="shared" si="10"/>
        <v>2706496.5100000501</v>
      </c>
      <c r="I50" s="1082">
        <f t="shared" si="10"/>
        <v>2706496.5100000501</v>
      </c>
      <c r="J50" s="1082">
        <f t="shared" si="10"/>
        <v>-4.7040018951520324E-2</v>
      </c>
      <c r="K50" s="1082">
        <f t="shared" si="10"/>
        <v>3588620.0308375745</v>
      </c>
      <c r="L50" s="1082">
        <f t="shared" si="10"/>
        <v>3312747.6776118497</v>
      </c>
    </row>
    <row r="51" spans="1:12" ht="11.25" customHeight="1" x14ac:dyDescent="0.25">
      <c r="A51" s="584"/>
      <c r="B51" s="581"/>
      <c r="C51" s="1126">
        <f t="shared" ref="C51:L51" si="11">C38-C50</f>
        <v>0</v>
      </c>
      <c r="D51" s="1126">
        <f t="shared" si="11"/>
        <v>182276</v>
      </c>
      <c r="E51" s="1126">
        <f t="shared" si="11"/>
        <v>0</v>
      </c>
      <c r="F51" s="1126">
        <f t="shared" si="11"/>
        <v>1.4901161193847656E-8</v>
      </c>
      <c r="G51" s="1126">
        <f t="shared" si="11"/>
        <v>-1.4901161193847656E-8</v>
      </c>
      <c r="H51" s="1126">
        <f t="shared" si="11"/>
        <v>-1.4901161193847656E-8</v>
      </c>
      <c r="I51" s="1126">
        <f t="shared" si="11"/>
        <v>-1.4901161193847656E-8</v>
      </c>
      <c r="J51" s="1126">
        <f t="shared" si="11"/>
        <v>0</v>
      </c>
      <c r="K51" s="1126">
        <f t="shared" si="11"/>
        <v>-1.4901161193847656E-8</v>
      </c>
      <c r="L51" s="1126">
        <f t="shared" si="11"/>
        <v>1.4901161193847656E-8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73" activePane="bottomRight" state="frozen"/>
      <selection pane="topRight"/>
      <selection pane="bottomLeft"/>
      <selection pane="bottomRight" activeCell="P32" sqref="P3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LIM471 Ephraim Mogale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1162</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32429818</v>
      </c>
      <c r="D5" s="85">
        <f>'A7-CFlow'!D40</f>
        <v>91136553</v>
      </c>
      <c r="E5" s="142">
        <f>'A7-CFlow'!E40</f>
        <v>178030570</v>
      </c>
      <c r="F5" s="129">
        <f>'A7-CFlow'!F40</f>
        <v>76024182.010000005</v>
      </c>
      <c r="G5" s="85">
        <f>'A7-CFlow'!G40</f>
        <v>84573320.510000005</v>
      </c>
      <c r="H5" s="142">
        <f>'A7-CFlow'!H40</f>
        <v>84573320.510000035</v>
      </c>
      <c r="I5" s="88">
        <f>'A7-CFlow'!I40</f>
        <v>84573320.510000035</v>
      </c>
      <c r="J5" s="89">
        <f>'A7-CFlow'!J40</f>
        <v>-4.7040018951520324E-2</v>
      </c>
      <c r="K5" s="85">
        <f>'A7-CFlow'!K40</f>
        <v>3588619.9837975409</v>
      </c>
      <c r="L5" s="142">
        <f>'A7-CFlow'!L40</f>
        <v>6901367.661409406</v>
      </c>
    </row>
    <row r="6" spans="1:12" ht="11.25" customHeight="1" x14ac:dyDescent="0.25">
      <c r="A6" s="68" t="s">
        <v>1493</v>
      </c>
      <c r="B6" s="228"/>
      <c r="C6" s="85">
        <f>'A6-FinPos'!C6+'A6-FinPos'!C7-'A6-FinPos'!C29-'A8-ResRecon'!C5</f>
        <v>-1</v>
      </c>
      <c r="D6" s="85">
        <f>'A6-FinPos'!D6+'A6-FinPos'!D7-'A6-FinPos'!D29-'A8-ResRecon'!D5</f>
        <v>-41391542</v>
      </c>
      <c r="E6" s="142">
        <f>'A6-FinPos'!E6+'A6-FinPos'!E7-'A6-FinPos'!E29-'A8-ResRecon'!E5</f>
        <v>-96163745</v>
      </c>
      <c r="F6" s="129">
        <f>'A6-FinPos'!F6+'A6-FinPos'!F7-'A6-FinPos'!F29-'A8-ResRecon'!F5</f>
        <v>-45024182.010000005</v>
      </c>
      <c r="G6" s="85">
        <f>'A6-FinPos'!G6+'A6-FinPos'!G7-'A6-FinPos'!G29-'A8-ResRecon'!G5</f>
        <v>-53573320.510000005</v>
      </c>
      <c r="H6" s="142">
        <f>'A6-FinPos'!H6+'A6-FinPos'!H7-'A6-FinPos'!H29-'A8-ResRecon'!H5</f>
        <v>-53573320.510000035</v>
      </c>
      <c r="I6" s="88">
        <f>'A6-FinPos'!I6+'A6-FinPos'!I7-'A6-FinPos'!I29-'A8-ResRecon'!I5</f>
        <v>-53573320.510000035</v>
      </c>
      <c r="J6" s="89">
        <f>'A6-FinPos'!J6+'A6-FinPos'!J7-'A6-FinPos'!J29-'A8-ResRecon'!J5</f>
        <v>32860000.047040019</v>
      </c>
      <c r="K6" s="85">
        <f>'A6-FinPos'!K6+'A6-FinPos'!K7-'A6-FinPos'!K29-'A8-ResRecon'!K5</f>
        <v>31242980.016202457</v>
      </c>
      <c r="L6" s="142">
        <f>'A6-FinPos'!L6+'A6-FinPos'!L7-'A6-FinPos'!L29-'A8-ResRecon'!L5</f>
        <v>30020128.338590592</v>
      </c>
    </row>
    <row r="7" spans="1:12" ht="11.25" customHeight="1" x14ac:dyDescent="0.25">
      <c r="A7" s="128" t="str">
        <f>'A6-FinPos'!A14&amp;" - "&amp;'A6-FinPos'!A16</f>
        <v>Non current assets - Investments</v>
      </c>
      <c r="B7" s="228">
        <v>1</v>
      </c>
      <c r="C7" s="85">
        <f>'A6-FinPos'!C16</f>
        <v>0</v>
      </c>
      <c r="D7" s="85">
        <f>'A6-FinPos'!D16</f>
        <v>0</v>
      </c>
      <c r="E7" s="142">
        <f>'A6-FinPos'!E16</f>
        <v>0</v>
      </c>
      <c r="F7" s="136">
        <f>'A6-FinPos'!F16</f>
        <v>0</v>
      </c>
      <c r="G7" s="134">
        <f>'A6-FinPos'!G16</f>
        <v>0</v>
      </c>
      <c r="H7" s="140">
        <f>'A6-FinPos'!H16</f>
        <v>0</v>
      </c>
      <c r="I7" s="88">
        <f>'A6-FinPos'!I16</f>
        <v>0</v>
      </c>
      <c r="J7" s="141">
        <f>'A6-FinPos'!J16</f>
        <v>31279807.997299999</v>
      </c>
      <c r="K7" s="134">
        <f>'A6-FinPos'!K16</f>
        <v>31279807.997299999</v>
      </c>
      <c r="L7" s="140">
        <f>'A6-FinPos'!L16</f>
        <v>31279807.997299999</v>
      </c>
    </row>
    <row r="8" spans="1:12" ht="11.25" customHeight="1" x14ac:dyDescent="0.25">
      <c r="A8" s="670" t="s">
        <v>1163</v>
      </c>
      <c r="B8" s="685"/>
      <c r="C8" s="686">
        <f>SUM(C5:C7)</f>
        <v>32429817</v>
      </c>
      <c r="D8" s="686">
        <f t="shared" ref="D8:L8" si="0">SUM(D5:D7)</f>
        <v>49745011</v>
      </c>
      <c r="E8" s="687">
        <f t="shared" si="0"/>
        <v>81866825</v>
      </c>
      <c r="F8" s="688">
        <f t="shared" si="0"/>
        <v>31000000</v>
      </c>
      <c r="G8" s="686">
        <f t="shared" si="0"/>
        <v>31000000</v>
      </c>
      <c r="H8" s="687">
        <f t="shared" si="0"/>
        <v>31000000</v>
      </c>
      <c r="I8" s="689">
        <f t="shared" si="0"/>
        <v>31000000</v>
      </c>
      <c r="J8" s="967">
        <f t="shared" si="0"/>
        <v>64139807.997299999</v>
      </c>
      <c r="K8" s="686">
        <f t="shared" si="0"/>
        <v>66111407.997299999</v>
      </c>
      <c r="L8" s="687">
        <f t="shared" si="0"/>
        <v>68201303.997299999</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1078</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0</v>
      </c>
      <c r="D11" s="85">
        <f>'SA3'!D36</f>
        <v>9426104</v>
      </c>
      <c r="E11" s="142">
        <f>'SA3'!E36</f>
        <v>9626998</v>
      </c>
      <c r="F11" s="129">
        <f>'SA3'!F36</f>
        <v>0</v>
      </c>
      <c r="G11" s="85">
        <f>'SA3'!G36</f>
        <v>0</v>
      </c>
      <c r="H11" s="142">
        <f>'SA3'!H36</f>
        <v>0</v>
      </c>
      <c r="I11" s="88">
        <f>'SA3'!I36</f>
        <v>0</v>
      </c>
      <c r="J11" s="89">
        <f>'SA3'!J36</f>
        <v>0</v>
      </c>
      <c r="K11" s="85">
        <f>'SA3'!K36</f>
        <v>0</v>
      </c>
      <c r="L11" s="142">
        <f>'SA3'!L36</f>
        <v>0</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53"/>
      <c r="J12" s="1322">
        <f>'SA17'!I67</f>
        <v>0</v>
      </c>
      <c r="K12" s="1318">
        <f>'SA17'!J67</f>
        <v>0</v>
      </c>
      <c r="L12" s="1319">
        <f>'SA17'!K67</f>
        <v>0</v>
      </c>
    </row>
    <row r="13" spans="1:12" ht="11.25" customHeight="1" x14ac:dyDescent="0.25">
      <c r="A13" s="128" t="s">
        <v>1079</v>
      </c>
      <c r="B13" s="228">
        <v>2</v>
      </c>
      <c r="C13" s="2110"/>
      <c r="D13" s="2110"/>
      <c r="E13" s="2113"/>
      <c r="F13" s="2114"/>
      <c r="G13" s="2110"/>
      <c r="H13" s="2113"/>
      <c r="I13" s="2115"/>
      <c r="J13" s="2116"/>
      <c r="K13" s="2110"/>
      <c r="L13" s="2113"/>
    </row>
    <row r="14" spans="1:12" ht="11.25" customHeight="1" x14ac:dyDescent="0.25">
      <c r="A14" s="128" t="s">
        <v>373</v>
      </c>
      <c r="B14" s="228">
        <v>3</v>
      </c>
      <c r="C14" s="85">
        <f>-C32</f>
        <v>-2136000</v>
      </c>
      <c r="D14" s="85">
        <f t="shared" ref="D14:L14" si="1">-D32</f>
        <v>22743635</v>
      </c>
      <c r="E14" s="142">
        <f t="shared" si="1"/>
        <v>15615128</v>
      </c>
      <c r="F14" s="129">
        <f>-F32</f>
        <v>1104000</v>
      </c>
      <c r="G14" s="85">
        <f t="shared" si="1"/>
        <v>1039000</v>
      </c>
      <c r="H14" s="142">
        <f t="shared" si="1"/>
        <v>1129000</v>
      </c>
      <c r="I14" s="88">
        <f t="shared" si="1"/>
        <v>1129000</v>
      </c>
      <c r="J14" s="89">
        <f t="shared" si="1"/>
        <v>1130000</v>
      </c>
      <c r="K14" s="85">
        <f t="shared" si="1"/>
        <v>1198400</v>
      </c>
      <c r="L14" s="142">
        <f t="shared" si="1"/>
        <v>1270064</v>
      </c>
    </row>
    <row r="15" spans="1:12" ht="11.25" customHeight="1" x14ac:dyDescent="0.25">
      <c r="A15" s="128" t="s">
        <v>560</v>
      </c>
      <c r="B15" s="228"/>
      <c r="C15" s="2110"/>
      <c r="D15" s="2110"/>
      <c r="E15" s="2113"/>
      <c r="F15" s="2114"/>
      <c r="G15" s="2110"/>
      <c r="H15" s="2113"/>
      <c r="I15" s="2115"/>
      <c r="J15" s="2115"/>
      <c r="K15" s="2115"/>
      <c r="L15" s="2115"/>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1164</v>
      </c>
      <c r="B17" s="228">
        <v>5</v>
      </c>
      <c r="C17" s="2088"/>
      <c r="D17" s="2088"/>
      <c r="E17" s="2106"/>
      <c r="F17" s="2107"/>
      <c r="G17" s="2088"/>
      <c r="H17" s="2106"/>
      <c r="I17" s="2108"/>
      <c r="J17" s="2090"/>
      <c r="K17" s="2090"/>
      <c r="L17" s="2090"/>
    </row>
    <row r="18" spans="1:14" ht="11.25" customHeight="1" x14ac:dyDescent="0.25">
      <c r="A18" s="670" t="str">
        <f>"Total "&amp;A10&amp;":"</f>
        <v>Total Application of cash and investments:</v>
      </c>
      <c r="B18" s="685"/>
      <c r="C18" s="686">
        <f>SUM(C11:C17)</f>
        <v>-2136000</v>
      </c>
      <c r="D18" s="686">
        <f t="shared" ref="D18:L18" si="3">SUM(D11:D17)</f>
        <v>32169739</v>
      </c>
      <c r="E18" s="687">
        <f t="shared" si="3"/>
        <v>25242126</v>
      </c>
      <c r="F18" s="688">
        <f t="shared" si="3"/>
        <v>1104000</v>
      </c>
      <c r="G18" s="686">
        <f t="shared" si="3"/>
        <v>1039000</v>
      </c>
      <c r="H18" s="687">
        <f t="shared" si="3"/>
        <v>1129000</v>
      </c>
      <c r="I18" s="689">
        <f t="shared" si="3"/>
        <v>1129000</v>
      </c>
      <c r="J18" s="967">
        <f t="shared" si="3"/>
        <v>1130000</v>
      </c>
      <c r="K18" s="686">
        <f t="shared" si="3"/>
        <v>1198400</v>
      </c>
      <c r="L18" s="687">
        <f t="shared" si="3"/>
        <v>1270064</v>
      </c>
      <c r="N18" s="233"/>
    </row>
    <row r="19" spans="1:14" ht="11.25" customHeight="1" x14ac:dyDescent="0.25">
      <c r="A19" s="274" t="s">
        <v>275</v>
      </c>
      <c r="B19" s="275"/>
      <c r="C19" s="226">
        <f>C8-C18</f>
        <v>34565817</v>
      </c>
      <c r="D19" s="226">
        <f t="shared" ref="D19:L19" si="4">D8-D18</f>
        <v>17575272</v>
      </c>
      <c r="E19" s="968">
        <f t="shared" si="4"/>
        <v>56624699</v>
      </c>
      <c r="F19" s="969">
        <f t="shared" si="4"/>
        <v>29896000</v>
      </c>
      <c r="G19" s="226">
        <f t="shared" si="4"/>
        <v>29961000</v>
      </c>
      <c r="H19" s="968">
        <f t="shared" si="4"/>
        <v>29871000</v>
      </c>
      <c r="I19" s="884">
        <f t="shared" si="4"/>
        <v>29871000</v>
      </c>
      <c r="J19" s="227">
        <f t="shared" si="4"/>
        <v>63009807.997299999</v>
      </c>
      <c r="K19" s="226">
        <f t="shared" si="4"/>
        <v>64913007.997299999</v>
      </c>
      <c r="L19" s="968">
        <f t="shared" si="4"/>
        <v>66931239.997299999</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1419</v>
      </c>
      <c r="B21" s="27"/>
    </row>
    <row r="22" spans="1:14" ht="11.25" customHeight="1" x14ac:dyDescent="0.25">
      <c r="A22" s="235" t="s">
        <v>1080</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2124</v>
      </c>
      <c r="B29" s="27"/>
      <c r="C29" s="926">
        <f>IF(ISERROR(ROUND(C35*C36,-3)),0,(ROUND(C35*C36,-3)))</f>
        <v>2136000</v>
      </c>
      <c r="D29" s="926">
        <f t="shared" ref="D29:L29" si="5">IF(ISERROR(ROUND(D35*D36,-3)),0,(ROUND(D35*D36,-3)))</f>
        <v>14613000</v>
      </c>
      <c r="E29" s="926">
        <f t="shared" si="5"/>
        <v>20648000</v>
      </c>
      <c r="F29" s="926">
        <f t="shared" si="5"/>
        <v>2896000</v>
      </c>
      <c r="G29" s="926">
        <f t="shared" si="5"/>
        <v>2961000</v>
      </c>
      <c r="H29" s="926">
        <f t="shared" si="5"/>
        <v>2871000</v>
      </c>
      <c r="I29" s="926">
        <f t="shared" si="5"/>
        <v>2871000</v>
      </c>
      <c r="J29" s="926">
        <f t="shared" si="5"/>
        <v>3110000</v>
      </c>
      <c r="K29" s="926">
        <f t="shared" si="5"/>
        <v>3296000</v>
      </c>
      <c r="L29" s="926">
        <f t="shared" si="5"/>
        <v>3494000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2122</v>
      </c>
      <c r="B31" s="27"/>
      <c r="C31" s="926">
        <f>'SA3'!C35</f>
        <v>0</v>
      </c>
      <c r="D31" s="926">
        <f>'SA3'!D35</f>
        <v>37356635</v>
      </c>
      <c r="E31" s="926">
        <f>'SA3'!E35</f>
        <v>36263128</v>
      </c>
      <c r="F31" s="926">
        <f>'SA3'!F35</f>
        <v>4000000</v>
      </c>
      <c r="G31" s="926">
        <f>'SA3'!G35</f>
        <v>4000000</v>
      </c>
      <c r="H31" s="926">
        <f>'SA3'!H35</f>
        <v>4000000</v>
      </c>
      <c r="I31" s="926">
        <f>'SA3'!I35</f>
        <v>4000000</v>
      </c>
      <c r="J31" s="926">
        <f>'SA3'!J35</f>
        <v>4240000</v>
      </c>
      <c r="K31" s="926">
        <f>'SA3'!K35</f>
        <v>4494400</v>
      </c>
      <c r="L31" s="926">
        <f>'SA3'!L35</f>
        <v>4764064</v>
      </c>
    </row>
    <row r="32" spans="1:14" ht="11.25" customHeight="1" x14ac:dyDescent="0.25">
      <c r="A32" s="238" t="s">
        <v>729</v>
      </c>
      <c r="B32" s="27"/>
      <c r="C32" s="1898">
        <f>C29-C31</f>
        <v>2136000</v>
      </c>
      <c r="D32" s="1898">
        <f t="shared" ref="D32:L32" si="6">D29-D31</f>
        <v>-22743635</v>
      </c>
      <c r="E32" s="1898">
        <f t="shared" si="6"/>
        <v>-15615128</v>
      </c>
      <c r="F32" s="1898">
        <f t="shared" si="6"/>
        <v>-1104000</v>
      </c>
      <c r="G32" s="1898">
        <f t="shared" si="6"/>
        <v>-1039000</v>
      </c>
      <c r="H32" s="1898">
        <f t="shared" si="6"/>
        <v>-1129000</v>
      </c>
      <c r="I32" s="1898">
        <f t="shared" si="6"/>
        <v>-1129000</v>
      </c>
      <c r="J32" s="1898">
        <f t="shared" si="6"/>
        <v>-1130000</v>
      </c>
      <c r="K32" s="1898">
        <f t="shared" si="6"/>
        <v>-1198400</v>
      </c>
      <c r="L32" s="1898">
        <f t="shared" si="6"/>
        <v>-1270064</v>
      </c>
    </row>
    <row r="33" spans="1:12" ht="6" customHeight="1" x14ac:dyDescent="0.25">
      <c r="B33" s="27"/>
      <c r="C33" s="88"/>
      <c r="D33" s="88"/>
      <c r="E33" s="88"/>
      <c r="F33" s="88"/>
      <c r="G33" s="88"/>
      <c r="H33" s="88"/>
      <c r="I33" s="88"/>
      <c r="J33" s="88"/>
      <c r="K33" s="88"/>
      <c r="L33" s="88"/>
    </row>
    <row r="34" spans="1:12" ht="11.25" customHeight="1" x14ac:dyDescent="0.25">
      <c r="A34" s="237" t="s">
        <v>2117</v>
      </c>
      <c r="B34" s="27"/>
      <c r="C34" s="1878"/>
      <c r="D34" s="1878"/>
      <c r="E34" s="1878"/>
      <c r="F34" s="1878"/>
      <c r="G34" s="1878"/>
      <c r="H34" s="1878"/>
      <c r="I34" s="1878"/>
      <c r="J34" s="1878"/>
      <c r="K34" s="1878"/>
      <c r="L34" s="1878"/>
    </row>
    <row r="35" spans="1:12" ht="11.25" customHeight="1" x14ac:dyDescent="0.25">
      <c r="A35" s="238" t="s">
        <v>2120</v>
      </c>
      <c r="B35" s="27"/>
      <c r="C35" s="88">
        <f>'A6-FinPos'!C8+'A6-FinPos'!C9+'A6-FinPos'!C15</f>
        <v>2606326</v>
      </c>
      <c r="D35" s="88">
        <f>'A6-FinPos'!D8+'A6-FinPos'!D9+'A6-FinPos'!D15</f>
        <v>15269677</v>
      </c>
      <c r="E35" s="88">
        <f>'A6-FinPos'!E8+'A6-FinPos'!E9+'A6-FinPos'!E15</f>
        <v>23770036</v>
      </c>
      <c r="F35" s="88">
        <f>'A6-FinPos'!F8+'A6-FinPos'!F9+'A6-FinPos'!F15</f>
        <v>3000000</v>
      </c>
      <c r="G35" s="88">
        <f>'A6-FinPos'!G8+'A6-FinPos'!G9+'A6-FinPos'!G15</f>
        <v>3000000</v>
      </c>
      <c r="H35" s="88">
        <f>'A6-FinPos'!H8+'A6-FinPos'!H9+'A6-FinPos'!H15</f>
        <v>3000000</v>
      </c>
      <c r="I35" s="88">
        <f>'A6-FinPos'!I8+'A6-FinPos'!I9+'A6-FinPos'!I15</f>
        <v>3000000</v>
      </c>
      <c r="J35" s="88">
        <f>'A6-FinPos'!J8+'A6-FinPos'!J9+'A6-FinPos'!J15</f>
        <v>3180000</v>
      </c>
      <c r="K35" s="88">
        <f>'A6-FinPos'!K8+'A6-FinPos'!K9+'A6-FinPos'!K15</f>
        <v>3370800</v>
      </c>
      <c r="L35" s="88">
        <f>'A6-FinPos'!L8+'A6-FinPos'!L9+'A6-FinPos'!L15</f>
        <v>3573048</v>
      </c>
    </row>
    <row r="36" spans="1:12" ht="11.25" customHeight="1" x14ac:dyDescent="0.25">
      <c r="A36" s="238" t="s">
        <v>2121</v>
      </c>
      <c r="B36" s="27"/>
      <c r="C36" s="2053">
        <f>IF(ISERROR('SA10'!D10),0,('SA10'!D10))</f>
        <v>0.81945480950881855</v>
      </c>
      <c r="D36" s="2053">
        <f>IF(ISERROR('SA10'!E10),0,('SA10'!E10))</f>
        <v>0.95700399620430721</v>
      </c>
      <c r="E36" s="2053">
        <f>IF(ISERROR('SA10'!F10),0,('SA10'!F10))</f>
        <v>0.86867455793722603</v>
      </c>
      <c r="F36" s="2053">
        <f>IF(ISERROR('SA10'!G10),0,('SA10'!G10))</f>
        <v>0.96523128093539379</v>
      </c>
      <c r="G36" s="2053">
        <f>IF(ISERROR('SA10'!H10),0,('SA10'!H10))</f>
        <v>0.9869334685018718</v>
      </c>
      <c r="H36" s="2053">
        <f>IF(ISERROR('SA10'!I10),0,('SA10'!I10))</f>
        <v>0.95688873934477847</v>
      </c>
      <c r="I36" s="2053">
        <f>IF(ISERROR('SA10'!J10),0,('SA10'!J10))</f>
        <v>0.95688873934477847</v>
      </c>
      <c r="J36" s="2053">
        <f>IF(ISERROR('SA10'!K10),0,('SA10'!K10))</f>
        <v>0.97784385341868507</v>
      </c>
      <c r="K36" s="2053">
        <f>IF(ISERROR('SA10'!L10),0,('SA10'!L10))</f>
        <v>0.97784385343618829</v>
      </c>
      <c r="L36" s="2053">
        <f>IF(ISERROR('SA10'!M10),0,('SA10'!M10))</f>
        <v>0.97784385351716951</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80"/>
      <c r="D38" s="1879"/>
      <c r="E38" s="1879"/>
      <c r="F38" s="1879"/>
      <c r="G38" s="1879"/>
      <c r="H38" s="1879"/>
      <c r="I38" s="1879"/>
      <c r="J38" s="1879"/>
      <c r="K38" s="1879"/>
      <c r="L38" s="1879"/>
    </row>
    <row r="39" spans="1:12" ht="11.25" customHeight="1" x14ac:dyDescent="0.25">
      <c r="B39" s="27"/>
      <c r="C39" s="247"/>
      <c r="D39" s="247"/>
      <c r="E39" s="247"/>
      <c r="F39" s="247"/>
      <c r="G39" s="247"/>
      <c r="H39" s="247"/>
      <c r="I39" s="247"/>
      <c r="J39" s="247"/>
      <c r="K39" s="247" t="s">
        <v>2119</v>
      </c>
      <c r="L39" s="247"/>
    </row>
    <row r="40" spans="1:12" ht="11.25" customHeight="1" x14ac:dyDescent="0.25">
      <c r="A40" s="341" t="str">
        <f>A16</f>
        <v>Long term investments committed</v>
      </c>
      <c r="B40" s="27"/>
      <c r="I40" s="241"/>
    </row>
    <row r="41" spans="1:12" ht="11.25" customHeight="1" x14ac:dyDescent="0.25">
      <c r="A41" s="2131" t="s">
        <v>905</v>
      </c>
      <c r="B41" s="27"/>
      <c r="C41" s="2108"/>
      <c r="D41" s="2108"/>
      <c r="E41" s="2108"/>
      <c r="F41" s="2108"/>
      <c r="G41" s="2108"/>
      <c r="H41" s="2108"/>
      <c r="I41" s="2108"/>
      <c r="J41" s="2108"/>
      <c r="K41" s="2108"/>
      <c r="L41" s="2108"/>
    </row>
    <row r="42" spans="1:12" ht="11.25" customHeight="1" x14ac:dyDescent="0.25">
      <c r="A42" s="2132"/>
      <c r="B42" s="27"/>
      <c r="C42" s="2108"/>
      <c r="D42" s="2108"/>
      <c r="E42" s="2108"/>
      <c r="F42" s="2108"/>
      <c r="G42" s="2108"/>
      <c r="H42" s="2108"/>
      <c r="I42" s="2108"/>
      <c r="J42" s="2108"/>
      <c r="K42" s="2108"/>
      <c r="L42" s="2108"/>
    </row>
    <row r="43" spans="1:12" ht="11.25" customHeight="1" x14ac:dyDescent="0.25">
      <c r="A43" s="2132"/>
      <c r="B43" s="27"/>
      <c r="C43" s="2108"/>
      <c r="D43" s="2108"/>
      <c r="E43" s="2108"/>
      <c r="F43" s="2108"/>
      <c r="G43" s="2108"/>
      <c r="H43" s="2108"/>
      <c r="I43" s="2108"/>
      <c r="J43" s="2108"/>
      <c r="K43" s="2108"/>
      <c r="L43" s="2108"/>
    </row>
    <row r="44" spans="1:12" ht="11.25" customHeight="1" x14ac:dyDescent="0.25">
      <c r="A44" s="2132"/>
      <c r="B44" s="27"/>
      <c r="C44" s="2108"/>
      <c r="D44" s="2108"/>
      <c r="E44" s="2108"/>
      <c r="F44" s="2108"/>
      <c r="G44" s="2108"/>
      <c r="H44" s="2108"/>
      <c r="I44" s="2108"/>
      <c r="J44" s="2108"/>
      <c r="K44" s="2108"/>
      <c r="L44" s="2108"/>
    </row>
    <row r="45" spans="1:12" ht="11.25" customHeight="1" x14ac:dyDescent="0.25">
      <c r="A45" s="2132"/>
      <c r="B45" s="27"/>
      <c r="C45" s="2108"/>
      <c r="D45" s="2108"/>
      <c r="E45" s="2108"/>
      <c r="F45" s="2108"/>
      <c r="G45" s="2108"/>
      <c r="H45" s="2108"/>
      <c r="I45" s="2108"/>
      <c r="J45" s="2108"/>
      <c r="K45" s="2108"/>
      <c r="L45" s="2108"/>
    </row>
    <row r="46" spans="1:12" ht="11.25" customHeight="1" x14ac:dyDescent="0.25">
      <c r="A46" s="2132"/>
      <c r="B46" s="27"/>
      <c r="C46" s="2108"/>
      <c r="D46" s="2108"/>
      <c r="E46" s="2108"/>
      <c r="F46" s="2108"/>
      <c r="G46" s="2108"/>
      <c r="H46" s="2108"/>
      <c r="I46" s="2108"/>
      <c r="J46" s="2108"/>
      <c r="K46" s="2108"/>
      <c r="L46" s="2108"/>
    </row>
    <row r="47" spans="1:12" ht="11.25" customHeight="1" x14ac:dyDescent="0.25">
      <c r="A47" s="2132"/>
      <c r="B47" s="27"/>
      <c r="C47" s="2108"/>
      <c r="D47" s="2108"/>
      <c r="E47" s="2108"/>
      <c r="F47" s="2108"/>
      <c r="G47" s="2108"/>
      <c r="H47" s="2108"/>
      <c r="I47" s="2108"/>
      <c r="J47" s="2108"/>
      <c r="K47" s="2108"/>
      <c r="L47" s="2108"/>
    </row>
    <row r="48" spans="1:12" ht="11.25" customHeight="1" x14ac:dyDescent="0.25">
      <c r="A48" s="2132"/>
      <c r="B48" s="27"/>
      <c r="C48" s="2108"/>
      <c r="D48" s="2108"/>
      <c r="E48" s="2108"/>
      <c r="F48" s="2108"/>
      <c r="G48" s="2108"/>
      <c r="H48" s="2108"/>
      <c r="I48" s="2108"/>
      <c r="J48" s="2108"/>
      <c r="K48" s="2108"/>
      <c r="L48" s="2108"/>
    </row>
    <row r="49" spans="1:12" ht="11.25" customHeight="1" x14ac:dyDescent="0.25">
      <c r="A49" s="2132"/>
      <c r="B49" s="27"/>
      <c r="C49" s="2108"/>
      <c r="D49" s="2108"/>
      <c r="E49" s="2108"/>
      <c r="F49" s="2108"/>
      <c r="G49" s="2108"/>
      <c r="H49" s="2108"/>
      <c r="I49" s="2108"/>
      <c r="J49" s="2108"/>
      <c r="K49" s="2108"/>
      <c r="L49" s="2108"/>
    </row>
    <row r="50" spans="1:12" ht="11.25" customHeight="1" x14ac:dyDescent="0.25">
      <c r="A50" s="2132"/>
      <c r="B50" s="27"/>
      <c r="C50" s="2108"/>
      <c r="D50" s="2108"/>
      <c r="E50" s="2108"/>
      <c r="F50" s="2108"/>
      <c r="G50" s="2108"/>
      <c r="H50" s="2108"/>
      <c r="I50" s="2108"/>
      <c r="J50" s="2108"/>
      <c r="K50" s="2108"/>
      <c r="L50" s="2108"/>
    </row>
    <row r="51" spans="1:12" ht="11.25" customHeight="1" x14ac:dyDescent="0.25">
      <c r="A51" s="2132"/>
      <c r="B51" s="27"/>
      <c r="C51" s="2108"/>
      <c r="D51" s="2108"/>
      <c r="E51" s="2108"/>
      <c r="F51" s="2108"/>
      <c r="G51" s="2108"/>
      <c r="H51" s="2108"/>
      <c r="I51" s="2108"/>
      <c r="J51" s="2108"/>
      <c r="K51" s="2108"/>
      <c r="L51" s="2108"/>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2108"/>
      <c r="D55" s="2108"/>
      <c r="E55" s="2108"/>
      <c r="F55" s="2108"/>
      <c r="G55" s="2108"/>
      <c r="H55" s="2108"/>
      <c r="I55" s="2108"/>
      <c r="J55" s="2108"/>
      <c r="K55" s="2108"/>
      <c r="L55" s="2108"/>
    </row>
    <row r="56" spans="1:12" ht="11.25" customHeight="1" x14ac:dyDescent="0.25">
      <c r="A56" s="27" t="str">
        <f>'SA3'!A66</f>
        <v>Self-insurance</v>
      </c>
      <c r="B56" s="27"/>
      <c r="C56" s="2108"/>
      <c r="D56" s="2108"/>
      <c r="E56" s="2108"/>
      <c r="F56" s="2108"/>
      <c r="G56" s="2108"/>
      <c r="H56" s="2108"/>
      <c r="I56" s="2108"/>
      <c r="J56" s="2108"/>
      <c r="K56" s="2108"/>
      <c r="L56" s="2108"/>
    </row>
    <row r="57" spans="1:12" ht="11.25" customHeight="1" x14ac:dyDescent="0.25">
      <c r="A57" s="2131" t="s">
        <v>1348</v>
      </c>
      <c r="B57" s="946"/>
      <c r="C57" s="2108"/>
      <c r="D57" s="2108"/>
      <c r="E57" s="2108"/>
      <c r="F57" s="2108"/>
      <c r="G57" s="2108"/>
      <c r="H57" s="2108"/>
      <c r="I57" s="2108"/>
      <c r="J57" s="2108"/>
      <c r="K57" s="2108"/>
      <c r="L57" s="2108"/>
    </row>
    <row r="58" spans="1:12" ht="11.25" customHeight="1" x14ac:dyDescent="0.25">
      <c r="A58" s="2131"/>
      <c r="B58" s="247"/>
      <c r="C58" s="2108"/>
      <c r="D58" s="2108"/>
      <c r="E58" s="2108"/>
      <c r="F58" s="2108"/>
      <c r="G58" s="2108"/>
      <c r="H58" s="2108"/>
      <c r="I58" s="2108"/>
      <c r="J58" s="2108"/>
      <c r="K58" s="2108"/>
      <c r="L58" s="2108"/>
    </row>
    <row r="59" spans="1:12" ht="11.25" customHeight="1" x14ac:dyDescent="0.25">
      <c r="A59" s="2131"/>
      <c r="B59" s="247"/>
      <c r="C59" s="2108"/>
      <c r="D59" s="2108"/>
      <c r="E59" s="2108"/>
      <c r="F59" s="2108"/>
      <c r="G59" s="2108"/>
      <c r="H59" s="2108"/>
      <c r="I59" s="2108"/>
      <c r="J59" s="2108"/>
      <c r="K59" s="2108"/>
      <c r="L59" s="2108"/>
    </row>
    <row r="60" spans="1:12" ht="11.25" customHeight="1" x14ac:dyDescent="0.25">
      <c r="A60" s="2131"/>
      <c r="B60" s="247"/>
      <c r="C60" s="2108"/>
      <c r="D60" s="2108"/>
      <c r="E60" s="2108"/>
      <c r="F60" s="2108"/>
      <c r="G60" s="2108"/>
      <c r="H60" s="2108"/>
      <c r="I60" s="2108"/>
      <c r="J60" s="2108"/>
      <c r="K60" s="2108"/>
      <c r="L60" s="2108"/>
    </row>
    <row r="61" spans="1:12" ht="11.25" customHeight="1" x14ac:dyDescent="0.25">
      <c r="A61" s="2131"/>
      <c r="B61" s="247"/>
      <c r="C61" s="2108"/>
      <c r="D61" s="2108"/>
      <c r="E61" s="2108"/>
      <c r="F61" s="2108"/>
      <c r="G61" s="2108"/>
      <c r="H61" s="2108"/>
      <c r="I61" s="2108"/>
      <c r="J61" s="2108"/>
      <c r="K61" s="2108"/>
      <c r="L61" s="2108"/>
    </row>
    <row r="62" spans="1:12" ht="11.25" customHeight="1" x14ac:dyDescent="0.25">
      <c r="A62" s="2131"/>
      <c r="B62" s="247"/>
      <c r="C62" s="2108"/>
      <c r="D62" s="2108"/>
      <c r="E62" s="2108"/>
      <c r="F62" s="2108"/>
      <c r="G62" s="2108"/>
      <c r="H62" s="2108"/>
      <c r="I62" s="2108"/>
      <c r="J62" s="2108"/>
      <c r="K62" s="2108"/>
      <c r="L62" s="2108"/>
    </row>
    <row r="63" spans="1:12" ht="11.25" customHeight="1" x14ac:dyDescent="0.25">
      <c r="A63" s="2131"/>
      <c r="B63" s="247"/>
      <c r="C63" s="2108"/>
      <c r="D63" s="2108"/>
      <c r="E63" s="2108"/>
      <c r="F63" s="2108"/>
      <c r="G63" s="2108"/>
      <c r="H63" s="2108"/>
      <c r="I63" s="2108"/>
      <c r="J63" s="2108"/>
      <c r="K63" s="2108"/>
      <c r="L63" s="2108"/>
    </row>
    <row r="64" spans="1:12" ht="11.25" customHeight="1" x14ac:dyDescent="0.25">
      <c r="A64" s="2131"/>
      <c r="B64" s="247"/>
      <c r="C64" s="2108"/>
      <c r="D64" s="2108"/>
      <c r="E64" s="2108"/>
      <c r="F64" s="2108"/>
      <c r="G64" s="2108"/>
      <c r="H64" s="2108"/>
      <c r="I64" s="2108"/>
      <c r="J64" s="2108"/>
      <c r="K64" s="2108"/>
      <c r="L64" s="2108"/>
    </row>
    <row r="65" spans="1:12" ht="11.25" customHeight="1" x14ac:dyDescent="0.25">
      <c r="A65" s="2131"/>
      <c r="B65" s="247"/>
      <c r="C65" s="2108"/>
      <c r="D65" s="2108"/>
      <c r="E65" s="2108"/>
      <c r="F65" s="2108"/>
      <c r="G65" s="2108"/>
      <c r="H65" s="2108"/>
      <c r="I65" s="2108"/>
      <c r="J65" s="2108"/>
      <c r="K65" s="2108"/>
      <c r="L65" s="2108"/>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67" activePane="bottomRight" state="frozen"/>
      <selection pane="topRight"/>
      <selection pane="bottomLeft"/>
      <selection pane="bottomRight" activeCell="K95" sqref="K95"/>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LIM471 Ephraim Mogale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1284"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92" t="s">
        <v>1370</v>
      </c>
      <c r="B4" s="60"/>
      <c r="C4" s="96"/>
      <c r="D4" s="96"/>
      <c r="E4" s="97"/>
      <c r="F4" s="98"/>
      <c r="G4" s="96"/>
      <c r="H4" s="95"/>
      <c r="I4" s="99"/>
      <c r="J4" s="96"/>
      <c r="K4" s="97"/>
    </row>
    <row r="5" spans="1:11" ht="11.25" customHeight="1" x14ac:dyDescent="0.25">
      <c r="A5" s="1393" t="s">
        <v>1022</v>
      </c>
      <c r="B5" s="60">
        <v>1</v>
      </c>
      <c r="C5" s="96">
        <f>SUM(C11:C18)</f>
        <v>27151666</v>
      </c>
      <c r="D5" s="96">
        <f>SUM(D11:D18)</f>
        <v>31548286.890000001</v>
      </c>
      <c r="E5" s="97">
        <f t="shared" ref="E5:K5" si="0">SUM(E11:E18)</f>
        <v>46508203</v>
      </c>
      <c r="F5" s="98">
        <f t="shared" si="0"/>
        <v>58872712</v>
      </c>
      <c r="G5" s="96">
        <f t="shared" si="0"/>
        <v>61828955</v>
      </c>
      <c r="H5" s="95">
        <f t="shared" si="0"/>
        <v>61828955</v>
      </c>
      <c r="I5" s="99">
        <f t="shared" si="0"/>
        <v>43416357.5</v>
      </c>
      <c r="J5" s="96">
        <f t="shared" si="0"/>
        <v>45520318.950000003</v>
      </c>
      <c r="K5" s="97">
        <f t="shared" si="0"/>
        <v>49008798.289999999</v>
      </c>
    </row>
    <row r="6" spans="1:11" ht="11.25" customHeight="1" x14ac:dyDescent="0.25">
      <c r="A6" s="1394" t="s">
        <v>367</v>
      </c>
      <c r="B6" s="228"/>
      <c r="C6" s="923">
        <f>SA34a!C7</f>
        <v>16900000</v>
      </c>
      <c r="D6" s="923">
        <f>SA34a!D7</f>
        <v>27719629.100000001</v>
      </c>
      <c r="E6" s="924">
        <f>SA34a!E7</f>
        <v>28278203</v>
      </c>
      <c r="F6" s="925">
        <f>SA34a!F7</f>
        <v>52805000</v>
      </c>
      <c r="G6" s="923">
        <f>SA34a!G7</f>
        <v>55445000</v>
      </c>
      <c r="H6" s="926">
        <f>SA34a!H7</f>
        <v>55445000</v>
      </c>
      <c r="I6" s="927">
        <f>SA34a!I7</f>
        <v>27860000</v>
      </c>
      <c r="J6" s="923">
        <f>SA34a!J7</f>
        <v>29878580</v>
      </c>
      <c r="K6" s="924">
        <f>SA34a!K7</f>
        <v>32428555</v>
      </c>
    </row>
    <row r="7" spans="1:11" ht="11.25" customHeight="1" x14ac:dyDescent="0.25">
      <c r="A7" s="1394" t="s">
        <v>705</v>
      </c>
      <c r="B7" s="228"/>
      <c r="C7" s="923">
        <f>SA34a!C10</f>
        <v>2400000</v>
      </c>
      <c r="D7" s="923">
        <f>SA34a!D10</f>
        <v>1084847.23</v>
      </c>
      <c r="E7" s="924">
        <f>SA34a!E10</f>
        <v>13330000</v>
      </c>
      <c r="F7" s="925">
        <f>SA34a!F10</f>
        <v>1400000</v>
      </c>
      <c r="G7" s="923">
        <f>SA34a!G10</f>
        <v>2272192</v>
      </c>
      <c r="H7" s="926">
        <f>SA34a!H10</f>
        <v>2272192</v>
      </c>
      <c r="I7" s="927">
        <f>SA34a!I10</f>
        <v>1830000</v>
      </c>
      <c r="J7" s="923">
        <f>SA34a!J10</f>
        <v>1939800</v>
      </c>
      <c r="K7" s="924">
        <f>SA34a!K10</f>
        <v>2056188</v>
      </c>
    </row>
    <row r="8" spans="1:11" ht="11.25" customHeight="1" x14ac:dyDescent="0.25">
      <c r="A8" s="1394" t="s">
        <v>368</v>
      </c>
      <c r="B8" s="228"/>
      <c r="C8" s="923">
        <f>SA34a!C14</f>
        <v>0</v>
      </c>
      <c r="D8" s="923">
        <f>SA34a!D14</f>
        <v>0</v>
      </c>
      <c r="E8" s="924">
        <f>SA34a!E14</f>
        <v>0</v>
      </c>
      <c r="F8" s="925">
        <f>SA34a!F14</f>
        <v>0</v>
      </c>
      <c r="G8" s="923">
        <f>SA34a!G14</f>
        <v>0</v>
      </c>
      <c r="H8" s="926">
        <f>SA34a!H14</f>
        <v>0</v>
      </c>
      <c r="I8" s="927">
        <f>SA34a!I14</f>
        <v>0</v>
      </c>
      <c r="J8" s="923">
        <f>SA34a!J14</f>
        <v>0</v>
      </c>
      <c r="K8" s="924">
        <f>SA34a!K14</f>
        <v>0</v>
      </c>
    </row>
    <row r="9" spans="1:11" ht="11.25" customHeight="1" x14ac:dyDescent="0.25">
      <c r="A9" s="1394" t="s">
        <v>369</v>
      </c>
      <c r="B9" s="228"/>
      <c r="C9" s="923">
        <f>SA34a!C18</f>
        <v>0</v>
      </c>
      <c r="D9" s="923">
        <f>SA34a!D18</f>
        <v>0</v>
      </c>
      <c r="E9" s="924">
        <f>SA34a!E18</f>
        <v>0</v>
      </c>
      <c r="F9" s="925">
        <f>SA34a!F18</f>
        <v>0</v>
      </c>
      <c r="G9" s="923">
        <f>SA34a!G18</f>
        <v>0</v>
      </c>
      <c r="H9" s="926">
        <f>SA34a!H18</f>
        <v>0</v>
      </c>
      <c r="I9" s="927">
        <f>SA34a!I18</f>
        <v>0</v>
      </c>
      <c r="J9" s="923">
        <f>SA34a!J18</f>
        <v>0</v>
      </c>
      <c r="K9" s="924">
        <f>SA34a!K18</f>
        <v>0</v>
      </c>
    </row>
    <row r="10" spans="1:11" ht="11.25" customHeight="1" x14ac:dyDescent="0.25">
      <c r="A10" s="1394" t="s">
        <v>648</v>
      </c>
      <c r="B10" s="228"/>
      <c r="C10" s="923">
        <f>SA34a!C21</f>
        <v>6641666</v>
      </c>
      <c r="D10" s="923">
        <f>SA34a!D21</f>
        <v>389567.3</v>
      </c>
      <c r="E10" s="924">
        <f>SA34a!E21</f>
        <v>3250000</v>
      </c>
      <c r="F10" s="925">
        <f>SA34a!F21</f>
        <v>0</v>
      </c>
      <c r="G10" s="923">
        <f>SA34a!G21</f>
        <v>0</v>
      </c>
      <c r="H10" s="926">
        <f>SA34a!H21</f>
        <v>0</v>
      </c>
      <c r="I10" s="927">
        <f>SA34a!I21</f>
        <v>2830000</v>
      </c>
      <c r="J10" s="923">
        <f>SA34a!J21</f>
        <v>2999800</v>
      </c>
      <c r="K10" s="924">
        <f>SA34a!K21</f>
        <v>3179788</v>
      </c>
    </row>
    <row r="11" spans="1:11" ht="11.25" customHeight="1" x14ac:dyDescent="0.25">
      <c r="A11" s="1285" t="s">
        <v>929</v>
      </c>
      <c r="B11" s="228"/>
      <c r="C11" s="885">
        <f>SUM(C6:C10)</f>
        <v>25941666</v>
      </c>
      <c r="D11" s="885">
        <f>SUM(D6:D10)</f>
        <v>29194043.630000003</v>
      </c>
      <c r="E11" s="886">
        <f t="shared" ref="E11:K11" si="1">SUM(E6:E10)</f>
        <v>44858203</v>
      </c>
      <c r="F11" s="887">
        <f t="shared" si="1"/>
        <v>54205000</v>
      </c>
      <c r="G11" s="885">
        <f t="shared" si="1"/>
        <v>57717192</v>
      </c>
      <c r="H11" s="888">
        <f t="shared" si="1"/>
        <v>57717192</v>
      </c>
      <c r="I11" s="889">
        <f t="shared" si="1"/>
        <v>32520000</v>
      </c>
      <c r="J11" s="885">
        <f t="shared" si="1"/>
        <v>34818180</v>
      </c>
      <c r="K11" s="886">
        <f t="shared" si="1"/>
        <v>37664531</v>
      </c>
    </row>
    <row r="12" spans="1:11" ht="11.25" customHeight="1" x14ac:dyDescent="0.25">
      <c r="A12" s="1286" t="str">
        <f>$A$42</f>
        <v>Community</v>
      </c>
      <c r="B12" s="60"/>
      <c r="C12" s="923">
        <f>SA34a!C27</f>
        <v>1210000</v>
      </c>
      <c r="D12" s="923">
        <f>SA34a!D27</f>
        <v>0</v>
      </c>
      <c r="E12" s="924">
        <f>SA34a!E27</f>
        <v>1650000</v>
      </c>
      <c r="F12" s="925">
        <f>SA34a!F27</f>
        <v>460000</v>
      </c>
      <c r="G12" s="923">
        <f>SA34a!G27</f>
        <v>448344</v>
      </c>
      <c r="H12" s="926">
        <f>SA34a!H27</f>
        <v>448344</v>
      </c>
      <c r="I12" s="927">
        <f>SA34a!I27</f>
        <v>1900000</v>
      </c>
      <c r="J12" s="923">
        <f>SA34a!J27</f>
        <v>2014000</v>
      </c>
      <c r="K12" s="924">
        <f>SA34a!K27</f>
        <v>2134840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0</v>
      </c>
      <c r="D15" s="923">
        <f>SA34a!D51</f>
        <v>2354243.2599999998</v>
      </c>
      <c r="E15" s="924">
        <f>SA34a!E51</f>
        <v>0</v>
      </c>
      <c r="F15" s="925">
        <f>SA34a!F51</f>
        <v>4207712</v>
      </c>
      <c r="G15" s="923">
        <f>SA34a!G51</f>
        <v>3663419</v>
      </c>
      <c r="H15" s="926">
        <f>SA34a!H51</f>
        <v>3663419</v>
      </c>
      <c r="I15" s="927">
        <f>SA34a!I51</f>
        <v>8012357.5</v>
      </c>
      <c r="J15" s="923">
        <f>SA34a!J51</f>
        <v>7645098.9500000002</v>
      </c>
      <c r="K15" s="924">
        <f>SA34a!K51</f>
        <v>8103804.8899999997</v>
      </c>
    </row>
    <row r="16" spans="1:11" x14ac:dyDescent="0.25">
      <c r="A16" s="1395" t="s">
        <v>1468</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0</v>
      </c>
      <c r="F18" s="1004">
        <f>SA34a!F73</f>
        <v>0</v>
      </c>
      <c r="G18" s="1002">
        <f>SA34a!G73</f>
        <v>0</v>
      </c>
      <c r="H18" s="1005">
        <f>SA34a!H73</f>
        <v>0</v>
      </c>
      <c r="I18" s="1006">
        <f>SA34a!I73</f>
        <v>984000</v>
      </c>
      <c r="J18" s="1002">
        <f>SA34a!J73</f>
        <v>1043040</v>
      </c>
      <c r="K18" s="1003">
        <f>SA34a!K73</f>
        <v>1105622.3999999999</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29593000</v>
      </c>
      <c r="D20" s="271">
        <f>SUM(D26:D33)</f>
        <v>3194043.63</v>
      </c>
      <c r="E20" s="223">
        <f t="shared" ref="E20:K20" si="2">SUM(E26:E33)</f>
        <v>0</v>
      </c>
      <c r="F20" s="272">
        <f t="shared" si="2"/>
        <v>11942501</v>
      </c>
      <c r="G20" s="271">
        <f t="shared" si="2"/>
        <v>6626001</v>
      </c>
      <c r="H20" s="273">
        <f t="shared" si="2"/>
        <v>6626001</v>
      </c>
      <c r="I20" s="1323">
        <f t="shared" si="2"/>
        <v>22091600</v>
      </c>
      <c r="J20" s="271">
        <f t="shared" si="2"/>
        <v>23417096</v>
      </c>
      <c r="K20" s="223">
        <f t="shared" si="2"/>
        <v>24822121.760000002</v>
      </c>
    </row>
    <row r="21" spans="1:11" ht="11.25" customHeight="1" x14ac:dyDescent="0.25">
      <c r="A21" s="1394" t="s">
        <v>367</v>
      </c>
      <c r="B21" s="228"/>
      <c r="C21" s="923">
        <f>SA34b!C7</f>
        <v>16900000</v>
      </c>
      <c r="D21" s="923">
        <f>SA34b!D7</f>
        <v>1719629.1</v>
      </c>
      <c r="E21" s="924">
        <f>SA34b!E7</f>
        <v>0</v>
      </c>
      <c r="F21" s="925">
        <f>SA34b!F7</f>
        <v>8000000</v>
      </c>
      <c r="G21" s="923">
        <f>SA34b!G7</f>
        <v>3400000</v>
      </c>
      <c r="H21" s="926">
        <f>SA34b!H7</f>
        <v>3400000</v>
      </c>
      <c r="I21" s="927">
        <f>SA34b!I7</f>
        <v>20400000</v>
      </c>
      <c r="J21" s="923">
        <f>SA34b!J7</f>
        <v>21624000</v>
      </c>
      <c r="K21" s="924">
        <f>SA34b!K7</f>
        <v>22921440</v>
      </c>
    </row>
    <row r="22" spans="1:11" ht="11.25" customHeight="1" x14ac:dyDescent="0.25">
      <c r="A22" s="1394" t="s">
        <v>705</v>
      </c>
      <c r="B22" s="228"/>
      <c r="C22" s="923">
        <f>SA34b!C10</f>
        <v>2400000</v>
      </c>
      <c r="D22" s="923">
        <f>SA34b!D10</f>
        <v>1084847.23</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0</v>
      </c>
      <c r="F23" s="925">
        <f>SA34b!F14</f>
        <v>0</v>
      </c>
      <c r="G23" s="923">
        <f>SA34b!G14</f>
        <v>0</v>
      </c>
      <c r="H23" s="926">
        <f>SA34b!H14</f>
        <v>0</v>
      </c>
      <c r="I23" s="927">
        <f>SA34b!I14</f>
        <v>0</v>
      </c>
      <c r="J23" s="923">
        <f>SA34b!J14</f>
        <v>0</v>
      </c>
      <c r="K23" s="924">
        <f>SA34b!K14</f>
        <v>0</v>
      </c>
    </row>
    <row r="24" spans="1:11" ht="11.25" customHeight="1" x14ac:dyDescent="0.25">
      <c r="A24" s="1394" t="s">
        <v>369</v>
      </c>
      <c r="B24" s="228"/>
      <c r="C24" s="923">
        <f>SA34b!C18</f>
        <v>0</v>
      </c>
      <c r="D24" s="923">
        <f>SA34b!D18</f>
        <v>0</v>
      </c>
      <c r="E24" s="924">
        <f>SA34b!E18</f>
        <v>0</v>
      </c>
      <c r="F24" s="925">
        <f>SA34b!F18</f>
        <v>0</v>
      </c>
      <c r="G24" s="923">
        <f>SA34b!G18</f>
        <v>0</v>
      </c>
      <c r="H24" s="926">
        <f>SA34b!H18</f>
        <v>0</v>
      </c>
      <c r="I24" s="927">
        <f>SA34b!I18</f>
        <v>0</v>
      </c>
      <c r="J24" s="923">
        <f>SA34b!J18</f>
        <v>0</v>
      </c>
      <c r="K24" s="924">
        <f>SA34b!K18</f>
        <v>0</v>
      </c>
    </row>
    <row r="25" spans="1:11" ht="11.25" customHeight="1" x14ac:dyDescent="0.25">
      <c r="A25" s="1394" t="s">
        <v>648</v>
      </c>
      <c r="B25" s="228"/>
      <c r="C25" s="923">
        <f>SA34b!C21</f>
        <v>9083000</v>
      </c>
      <c r="D25" s="923">
        <f>SA34b!D21</f>
        <v>389567.3</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28383000</v>
      </c>
      <c r="D26" s="885">
        <f>SUM(D21:D25)</f>
        <v>3194043.63</v>
      </c>
      <c r="E26" s="886">
        <f t="shared" ref="E26:K26" si="3">SUM(E21:E25)</f>
        <v>0</v>
      </c>
      <c r="F26" s="887">
        <f t="shared" si="3"/>
        <v>8000000</v>
      </c>
      <c r="G26" s="885">
        <f t="shared" si="3"/>
        <v>3400000</v>
      </c>
      <c r="H26" s="888">
        <f t="shared" si="3"/>
        <v>3400000</v>
      </c>
      <c r="I26" s="889">
        <f t="shared" si="3"/>
        <v>20400000</v>
      </c>
      <c r="J26" s="885">
        <f t="shared" si="3"/>
        <v>21624000</v>
      </c>
      <c r="K26" s="886">
        <f t="shared" si="3"/>
        <v>22921440</v>
      </c>
    </row>
    <row r="27" spans="1:11" ht="11.25" customHeight="1" x14ac:dyDescent="0.25">
      <c r="A27" s="1286" t="str">
        <f>A12</f>
        <v>Community</v>
      </c>
      <c r="B27" s="152"/>
      <c r="C27" s="923">
        <f>SA34b!C27</f>
        <v>1210000</v>
      </c>
      <c r="D27" s="923">
        <f>SA34b!D27</f>
        <v>0</v>
      </c>
      <c r="E27" s="924">
        <f>SA34b!E27</f>
        <v>0</v>
      </c>
      <c r="F27" s="925">
        <f>SA34b!F27</f>
        <v>1750000</v>
      </c>
      <c r="G27" s="923">
        <f>SA34b!G27</f>
        <v>1350000</v>
      </c>
      <c r="H27" s="926">
        <f>SA34b!H27</f>
        <v>1350000</v>
      </c>
      <c r="I27" s="927">
        <f>SA34b!I27</f>
        <v>1120000</v>
      </c>
      <c r="J27" s="923">
        <f>SA34b!J27</f>
        <v>1187200</v>
      </c>
      <c r="K27" s="924">
        <f>SA34b!K27</f>
        <v>1258432</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2192501</v>
      </c>
      <c r="G30" s="923">
        <f>SA34b!G51</f>
        <v>1876001</v>
      </c>
      <c r="H30" s="926">
        <f>SA34b!H51</f>
        <v>1876001</v>
      </c>
      <c r="I30" s="927">
        <f>SA34b!I51</f>
        <v>571600</v>
      </c>
      <c r="J30" s="923">
        <f>SA34b!J51</f>
        <v>605896</v>
      </c>
      <c r="K30" s="924">
        <f>SA34b!K51</f>
        <v>642249.76</v>
      </c>
    </row>
    <row r="31" spans="1:11" x14ac:dyDescent="0.25">
      <c r="A31" s="1395" t="s">
        <v>1468</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576</v>
      </c>
      <c r="B35" s="60">
        <v>4</v>
      </c>
      <c r="C35" s="81"/>
      <c r="D35" s="81"/>
      <c r="E35" s="82"/>
      <c r="F35" s="83"/>
      <c r="G35" s="81"/>
      <c r="H35" s="80"/>
      <c r="I35" s="84"/>
      <c r="J35" s="81"/>
      <c r="K35" s="82"/>
    </row>
    <row r="36" spans="1:11" ht="11.25" customHeight="1" x14ac:dyDescent="0.25">
      <c r="A36" s="1394" t="s">
        <v>367</v>
      </c>
      <c r="B36" s="228"/>
      <c r="C36" s="85">
        <f>C6+C21</f>
        <v>33800000</v>
      </c>
      <c r="D36" s="85">
        <f t="shared" ref="D36:K36" si="4">D6+D21</f>
        <v>29439258.200000003</v>
      </c>
      <c r="E36" s="142">
        <f t="shared" si="4"/>
        <v>28278203</v>
      </c>
      <c r="F36" s="129">
        <f t="shared" si="4"/>
        <v>60805000</v>
      </c>
      <c r="G36" s="85">
        <f t="shared" si="4"/>
        <v>58845000</v>
      </c>
      <c r="H36" s="88">
        <f t="shared" si="4"/>
        <v>58845000</v>
      </c>
      <c r="I36" s="89">
        <f t="shared" si="4"/>
        <v>48260000</v>
      </c>
      <c r="J36" s="85">
        <f t="shared" si="4"/>
        <v>51502580</v>
      </c>
      <c r="K36" s="142">
        <f t="shared" si="4"/>
        <v>55349995</v>
      </c>
    </row>
    <row r="37" spans="1:11" ht="11.25" customHeight="1" x14ac:dyDescent="0.25">
      <c r="A37" s="1394" t="s">
        <v>705</v>
      </c>
      <c r="B37" s="228"/>
      <c r="C37" s="85">
        <f>C7+C22</f>
        <v>4800000</v>
      </c>
      <c r="D37" s="85">
        <f t="shared" ref="D37:K38" si="5">D7+D22</f>
        <v>2169694.46</v>
      </c>
      <c r="E37" s="142">
        <f t="shared" si="5"/>
        <v>13330000</v>
      </c>
      <c r="F37" s="129">
        <f t="shared" si="5"/>
        <v>1400000</v>
      </c>
      <c r="G37" s="85">
        <f t="shared" si="5"/>
        <v>2272192</v>
      </c>
      <c r="H37" s="88">
        <f t="shared" si="5"/>
        <v>2272192</v>
      </c>
      <c r="I37" s="89">
        <f t="shared" si="5"/>
        <v>1830000</v>
      </c>
      <c r="J37" s="85">
        <f t="shared" si="5"/>
        <v>1939800</v>
      </c>
      <c r="K37" s="142">
        <f t="shared" si="5"/>
        <v>2056188</v>
      </c>
    </row>
    <row r="38" spans="1:11" ht="11.25" customHeight="1" x14ac:dyDescent="0.25">
      <c r="A38" s="1394" t="s">
        <v>368</v>
      </c>
      <c r="B38" s="228"/>
      <c r="C38" s="85">
        <f>C8+C23</f>
        <v>0</v>
      </c>
      <c r="D38" s="85">
        <f t="shared" si="5"/>
        <v>0</v>
      </c>
      <c r="E38" s="142">
        <f t="shared" si="5"/>
        <v>0</v>
      </c>
      <c r="F38" s="129">
        <f t="shared" si="5"/>
        <v>0</v>
      </c>
      <c r="G38" s="85">
        <f t="shared" si="5"/>
        <v>0</v>
      </c>
      <c r="H38" s="88">
        <f t="shared" si="5"/>
        <v>0</v>
      </c>
      <c r="I38" s="89">
        <f t="shared" si="5"/>
        <v>0</v>
      </c>
      <c r="J38" s="85">
        <f t="shared" si="5"/>
        <v>0</v>
      </c>
      <c r="K38" s="142">
        <f t="shared" si="5"/>
        <v>0</v>
      </c>
    </row>
    <row r="39" spans="1:11" ht="11.25" customHeight="1" x14ac:dyDescent="0.25">
      <c r="A39" s="1394" t="s">
        <v>369</v>
      </c>
      <c r="B39" s="228"/>
      <c r="C39" s="85">
        <f>C9+C24</f>
        <v>0</v>
      </c>
      <c r="D39" s="85">
        <f t="shared" ref="D39:K39" si="6">D9+D24</f>
        <v>0</v>
      </c>
      <c r="E39" s="142">
        <f>E9+E24</f>
        <v>0</v>
      </c>
      <c r="F39" s="129">
        <f t="shared" si="6"/>
        <v>0</v>
      </c>
      <c r="G39" s="85">
        <f t="shared" si="6"/>
        <v>0</v>
      </c>
      <c r="H39" s="88">
        <f t="shared" si="6"/>
        <v>0</v>
      </c>
      <c r="I39" s="89">
        <f t="shared" si="6"/>
        <v>0</v>
      </c>
      <c r="J39" s="85">
        <f t="shared" si="6"/>
        <v>0</v>
      </c>
      <c r="K39" s="142">
        <f t="shared" si="6"/>
        <v>0</v>
      </c>
    </row>
    <row r="40" spans="1:11" ht="11.25" customHeight="1" x14ac:dyDescent="0.25">
      <c r="A40" s="1394" t="s">
        <v>648</v>
      </c>
      <c r="B40" s="228"/>
      <c r="C40" s="85">
        <f t="shared" ref="C40:K40" si="7">C10+C25</f>
        <v>15724666</v>
      </c>
      <c r="D40" s="85">
        <f t="shared" si="7"/>
        <v>779134.6</v>
      </c>
      <c r="E40" s="142">
        <f t="shared" si="7"/>
        <v>3250000</v>
      </c>
      <c r="F40" s="129">
        <f t="shared" si="7"/>
        <v>0</v>
      </c>
      <c r="G40" s="85">
        <f t="shared" si="7"/>
        <v>0</v>
      </c>
      <c r="H40" s="88">
        <f t="shared" si="7"/>
        <v>0</v>
      </c>
      <c r="I40" s="89">
        <f t="shared" si="7"/>
        <v>2830000</v>
      </c>
      <c r="J40" s="85">
        <f t="shared" si="7"/>
        <v>2999800</v>
      </c>
      <c r="K40" s="142">
        <f t="shared" si="7"/>
        <v>3179788</v>
      </c>
    </row>
    <row r="41" spans="1:11" ht="11.25" customHeight="1" x14ac:dyDescent="0.25">
      <c r="A41" s="1285" t="str">
        <f>$A$11</f>
        <v>Infrastructure</v>
      </c>
      <c r="B41" s="228"/>
      <c r="C41" s="885">
        <f>SUM(C36:C40)</f>
        <v>54324666</v>
      </c>
      <c r="D41" s="885">
        <f t="shared" ref="D41:K41" si="8">SUM(D36:D40)</f>
        <v>32388087.260000005</v>
      </c>
      <c r="E41" s="886">
        <f t="shared" si="8"/>
        <v>44858203</v>
      </c>
      <c r="F41" s="887">
        <f t="shared" si="8"/>
        <v>62205000</v>
      </c>
      <c r="G41" s="885">
        <f t="shared" si="8"/>
        <v>61117192</v>
      </c>
      <c r="H41" s="888">
        <f t="shared" si="8"/>
        <v>61117192</v>
      </c>
      <c r="I41" s="889">
        <f t="shared" si="8"/>
        <v>52920000</v>
      </c>
      <c r="J41" s="885">
        <f t="shared" si="8"/>
        <v>56442180</v>
      </c>
      <c r="K41" s="886">
        <f t="shared" si="8"/>
        <v>60585971</v>
      </c>
    </row>
    <row r="42" spans="1:11" ht="11.25" customHeight="1" x14ac:dyDescent="0.25">
      <c r="A42" s="1286" t="str">
        <f>SA34a!A27</f>
        <v>Community</v>
      </c>
      <c r="B42" s="60"/>
      <c r="C42" s="85">
        <f t="shared" ref="C42:C48" si="9">C12+C27</f>
        <v>2420000</v>
      </c>
      <c r="D42" s="85">
        <f t="shared" ref="D42:K42" si="10">D12+D27</f>
        <v>0</v>
      </c>
      <c r="E42" s="82">
        <f t="shared" si="10"/>
        <v>1650000</v>
      </c>
      <c r="F42" s="83">
        <f t="shared" si="10"/>
        <v>2210000</v>
      </c>
      <c r="G42" s="81">
        <f t="shared" si="10"/>
        <v>1798344</v>
      </c>
      <c r="H42" s="80">
        <f t="shared" si="10"/>
        <v>1798344</v>
      </c>
      <c r="I42" s="84">
        <f t="shared" si="10"/>
        <v>3020000</v>
      </c>
      <c r="J42" s="81">
        <f t="shared" si="10"/>
        <v>3201200</v>
      </c>
      <c r="K42" s="82">
        <f t="shared" si="10"/>
        <v>3393272</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0</v>
      </c>
      <c r="D45" s="85">
        <f t="shared" ref="D45:K45" si="13">D15+D30</f>
        <v>2354243.2599999998</v>
      </c>
      <c r="E45" s="82">
        <f t="shared" si="13"/>
        <v>0</v>
      </c>
      <c r="F45" s="83">
        <f t="shared" si="13"/>
        <v>6400213</v>
      </c>
      <c r="G45" s="81">
        <f t="shared" si="13"/>
        <v>5539420</v>
      </c>
      <c r="H45" s="80">
        <f t="shared" si="13"/>
        <v>5539420</v>
      </c>
      <c r="I45" s="84">
        <f t="shared" si="13"/>
        <v>8583957.5</v>
      </c>
      <c r="J45" s="81">
        <f t="shared" si="13"/>
        <v>8250994.9500000002</v>
      </c>
      <c r="K45" s="82">
        <f t="shared" si="13"/>
        <v>8746054.6500000004</v>
      </c>
    </row>
    <row r="46" spans="1:11" x14ac:dyDescent="0.25">
      <c r="A46" s="1395" t="s">
        <v>1468</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0</v>
      </c>
      <c r="F48" s="83">
        <f t="shared" si="16"/>
        <v>0</v>
      </c>
      <c r="G48" s="81">
        <f t="shared" si="16"/>
        <v>0</v>
      </c>
      <c r="H48" s="80">
        <f t="shared" si="16"/>
        <v>0</v>
      </c>
      <c r="I48" s="84">
        <f t="shared" si="16"/>
        <v>984000</v>
      </c>
      <c r="J48" s="81">
        <f t="shared" si="16"/>
        <v>1043040</v>
      </c>
      <c r="K48" s="82">
        <f t="shared" si="16"/>
        <v>1105622.3999999999</v>
      </c>
    </row>
    <row r="49" spans="1:11" x14ac:dyDescent="0.25">
      <c r="A49" s="1396" t="s">
        <v>1371</v>
      </c>
      <c r="B49" s="103">
        <v>2</v>
      </c>
      <c r="C49" s="108">
        <f t="shared" ref="C49:K49" si="17">SUM(C41:C48)</f>
        <v>56744666</v>
      </c>
      <c r="D49" s="108">
        <f t="shared" si="17"/>
        <v>34742330.520000003</v>
      </c>
      <c r="E49" s="106">
        <f t="shared" si="17"/>
        <v>46508203</v>
      </c>
      <c r="F49" s="107">
        <f t="shared" si="17"/>
        <v>70815213</v>
      </c>
      <c r="G49" s="108">
        <f t="shared" si="17"/>
        <v>68454956</v>
      </c>
      <c r="H49" s="109">
        <f t="shared" si="17"/>
        <v>68454956</v>
      </c>
      <c r="I49" s="110">
        <f t="shared" si="17"/>
        <v>65507957.5</v>
      </c>
      <c r="J49" s="108">
        <f t="shared" si="17"/>
        <v>68937414.950000003</v>
      </c>
      <c r="K49" s="106">
        <f t="shared" si="17"/>
        <v>73830920.050000012</v>
      </c>
    </row>
    <row r="50" spans="1:11" ht="5.0999999999999996" customHeight="1" x14ac:dyDescent="0.25">
      <c r="A50" s="128"/>
      <c r="B50" s="60"/>
      <c r="C50" s="81"/>
      <c r="D50" s="81"/>
      <c r="E50" s="82"/>
      <c r="F50" s="83"/>
      <c r="G50" s="81"/>
      <c r="H50" s="80"/>
      <c r="I50" s="84"/>
      <c r="J50" s="81"/>
      <c r="K50" s="82"/>
    </row>
    <row r="51" spans="1:11" ht="11.25" customHeight="1" x14ac:dyDescent="0.25">
      <c r="A51" s="204" t="s">
        <v>1375</v>
      </c>
      <c r="B51" s="60">
        <v>5</v>
      </c>
      <c r="C51" s="81"/>
      <c r="D51" s="81"/>
      <c r="E51" s="82"/>
      <c r="F51" s="83"/>
      <c r="G51" s="81"/>
      <c r="H51" s="80"/>
      <c r="I51" s="84"/>
      <c r="J51" s="81"/>
      <c r="K51" s="82"/>
    </row>
    <row r="52" spans="1:11" ht="11.25" customHeight="1" x14ac:dyDescent="0.25">
      <c r="A52" s="1324" t="s">
        <v>367</v>
      </c>
      <c r="B52" s="228"/>
      <c r="C52" s="2088"/>
      <c r="D52" s="2088"/>
      <c r="E52" s="2106"/>
      <c r="F52" s="2107"/>
      <c r="G52" s="2088"/>
      <c r="H52" s="2108"/>
      <c r="I52" s="2090"/>
      <c r="J52" s="2088"/>
      <c r="K52" s="2106"/>
    </row>
    <row r="53" spans="1:11" ht="11.25" customHeight="1" x14ac:dyDescent="0.25">
      <c r="A53" s="1324" t="s">
        <v>705</v>
      </c>
      <c r="B53" s="228"/>
      <c r="C53" s="2088"/>
      <c r="D53" s="2088"/>
      <c r="E53" s="2106"/>
      <c r="F53" s="2107"/>
      <c r="G53" s="2088"/>
      <c r="H53" s="2108"/>
      <c r="I53" s="2090"/>
      <c r="J53" s="2088"/>
      <c r="K53" s="2106"/>
    </row>
    <row r="54" spans="1:11" ht="11.25" customHeight="1" x14ac:dyDescent="0.25">
      <c r="A54" s="1324" t="s">
        <v>368</v>
      </c>
      <c r="B54" s="228"/>
      <c r="C54" s="2088"/>
      <c r="D54" s="2088"/>
      <c r="E54" s="2106"/>
      <c r="F54" s="2107"/>
      <c r="G54" s="2088"/>
      <c r="H54" s="2108"/>
      <c r="I54" s="2090"/>
      <c r="J54" s="2088"/>
      <c r="K54" s="2106"/>
    </row>
    <row r="55" spans="1:11" ht="11.25" customHeight="1" x14ac:dyDescent="0.25">
      <c r="A55" s="1324" t="s">
        <v>369</v>
      </c>
      <c r="B55" s="228"/>
      <c r="C55" s="2088"/>
      <c r="D55" s="2088"/>
      <c r="E55" s="2106"/>
      <c r="F55" s="2107"/>
      <c r="G55" s="2088"/>
      <c r="H55" s="2108"/>
      <c r="I55" s="2090"/>
      <c r="J55" s="2088"/>
      <c r="K55" s="2106"/>
    </row>
    <row r="56" spans="1:11" ht="11.25" customHeight="1" x14ac:dyDescent="0.25">
      <c r="A56" s="1324" t="s">
        <v>648</v>
      </c>
      <c r="B56" s="228"/>
      <c r="C56" s="2088"/>
      <c r="D56" s="2088"/>
      <c r="E56" s="2106"/>
      <c r="F56" s="2107"/>
      <c r="G56" s="2088"/>
      <c r="H56" s="2108"/>
      <c r="I56" s="2090"/>
      <c r="J56" s="2088"/>
      <c r="K56" s="2106"/>
    </row>
    <row r="57" spans="1:11" ht="11.25" customHeight="1" x14ac:dyDescent="0.25">
      <c r="A57" s="132" t="str">
        <f>A41</f>
        <v>Infrastructure</v>
      </c>
      <c r="B57" s="228"/>
      <c r="C57" s="1150">
        <f>SUM(C52:C56)</f>
        <v>0</v>
      </c>
      <c r="D57" s="1150">
        <f t="shared" ref="D57:K57" si="18">SUM(D52:D56)</f>
        <v>0</v>
      </c>
      <c r="E57" s="1151">
        <f t="shared" si="18"/>
        <v>0</v>
      </c>
      <c r="F57" s="1152">
        <f t="shared" si="18"/>
        <v>0</v>
      </c>
      <c r="G57" s="1150">
        <f t="shared" si="18"/>
        <v>0</v>
      </c>
      <c r="H57" s="1153">
        <f t="shared" si="18"/>
        <v>0</v>
      </c>
      <c r="I57" s="1154">
        <f t="shared" si="18"/>
        <v>0</v>
      </c>
      <c r="J57" s="1150">
        <f t="shared" si="18"/>
        <v>0</v>
      </c>
      <c r="K57" s="1151">
        <f t="shared" si="18"/>
        <v>0</v>
      </c>
    </row>
    <row r="58" spans="1:11" ht="11.25" customHeight="1" x14ac:dyDescent="0.25">
      <c r="A58" s="128" t="str">
        <f>A12</f>
        <v>Community</v>
      </c>
      <c r="B58" s="60"/>
      <c r="C58" s="2088"/>
      <c r="D58" s="2088"/>
      <c r="E58" s="2106"/>
      <c r="F58" s="2107"/>
      <c r="G58" s="2088"/>
      <c r="H58" s="2108"/>
      <c r="I58" s="2090"/>
      <c r="J58" s="2088"/>
      <c r="K58" s="2106"/>
    </row>
    <row r="59" spans="1:11" ht="11.25" customHeight="1" x14ac:dyDescent="0.25">
      <c r="A59" s="128" t="str">
        <f>A13</f>
        <v>Heritage assets</v>
      </c>
      <c r="B59" s="60"/>
      <c r="C59" s="2110"/>
      <c r="D59" s="2110"/>
      <c r="E59" s="2113"/>
      <c r="F59" s="2114"/>
      <c r="G59" s="2110"/>
      <c r="H59" s="2115"/>
      <c r="I59" s="2116"/>
      <c r="J59" s="2110"/>
      <c r="K59" s="2113"/>
    </row>
    <row r="60" spans="1:11" ht="11.25" customHeight="1" x14ac:dyDescent="0.25">
      <c r="A60" s="128" t="str">
        <f>A14</f>
        <v>Investment properties</v>
      </c>
      <c r="B60" s="60"/>
      <c r="C60" s="923">
        <f>'A6-FinPos'!C17</f>
        <v>107329000</v>
      </c>
      <c r="D60" s="923">
        <f>'A6-FinPos'!D17</f>
        <v>114048000</v>
      </c>
      <c r="E60" s="924">
        <f>'A6-FinPos'!E17</f>
        <v>118087200</v>
      </c>
      <c r="F60" s="925">
        <f>'A6-FinPos'!F17</f>
        <v>0</v>
      </c>
      <c r="G60" s="923">
        <f>'A6-FinPos'!G17</f>
        <v>0</v>
      </c>
      <c r="H60" s="926">
        <f>'A6-FinPos'!H17</f>
        <v>0</v>
      </c>
      <c r="I60" s="927">
        <f>'A6-FinPos'!J17</f>
        <v>0</v>
      </c>
      <c r="J60" s="923">
        <f>'A6-FinPos'!K17</f>
        <v>0</v>
      </c>
      <c r="K60" s="924">
        <f>'A6-FinPos'!L17</f>
        <v>0</v>
      </c>
    </row>
    <row r="61" spans="1:11" ht="11.25" customHeight="1" x14ac:dyDescent="0.25">
      <c r="A61" s="128" t="str">
        <f>A15</f>
        <v>Other assets</v>
      </c>
      <c r="B61" s="60"/>
      <c r="C61" s="2088"/>
      <c r="D61" s="2088"/>
      <c r="E61" s="2106"/>
      <c r="F61" s="2107"/>
      <c r="G61" s="2088"/>
      <c r="H61" s="2108"/>
      <c r="I61" s="2090"/>
      <c r="J61" s="2088"/>
      <c r="K61" s="2106"/>
    </row>
    <row r="62" spans="1:11" x14ac:dyDescent="0.25">
      <c r="A62" s="68" t="s">
        <v>1468</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0</v>
      </c>
      <c r="D63" s="923">
        <f>'A6-FinPos'!D21</f>
        <v>0</v>
      </c>
      <c r="E63" s="924">
        <f>'A6-FinPos'!E21</f>
        <v>0</v>
      </c>
      <c r="F63" s="925">
        <f>'A6-FinPos'!F21</f>
        <v>0</v>
      </c>
      <c r="G63" s="923">
        <f>'A6-FinPos'!G21</f>
        <v>0</v>
      </c>
      <c r="H63" s="926">
        <f>'A6-FinPos'!H21</f>
        <v>0</v>
      </c>
      <c r="I63" s="927">
        <f>'A6-FinPos'!J21</f>
        <v>0</v>
      </c>
      <c r="J63" s="923">
        <f>'A6-FinPos'!K21</f>
        <v>0</v>
      </c>
      <c r="K63" s="924">
        <f>'A6-FinPos'!L21</f>
        <v>0</v>
      </c>
    </row>
    <row r="64" spans="1:11" ht="11.25" customHeight="1" x14ac:dyDescent="0.25">
      <c r="A64" s="128" t="str">
        <f>A18</f>
        <v>Intangibles</v>
      </c>
      <c r="B64" s="60"/>
      <c r="C64" s="923">
        <f>'A6-FinPos'!C22</f>
        <v>371171</v>
      </c>
      <c r="D64" s="923">
        <f>'A6-FinPos'!D22</f>
        <v>0</v>
      </c>
      <c r="E64" s="924">
        <f>'A6-FinPos'!E22</f>
        <v>0</v>
      </c>
      <c r="F64" s="925">
        <f>'A6-FinPos'!F22</f>
        <v>0</v>
      </c>
      <c r="G64" s="923">
        <f>'A6-FinPos'!G22</f>
        <v>0</v>
      </c>
      <c r="H64" s="926">
        <f>'A6-FinPos'!H22</f>
        <v>0</v>
      </c>
      <c r="I64" s="927">
        <f>'A6-FinPos'!J22</f>
        <v>0</v>
      </c>
      <c r="J64" s="923">
        <f>'A6-FinPos'!K22</f>
        <v>0</v>
      </c>
      <c r="K64" s="924">
        <f>'A6-FinPos'!L22</f>
        <v>0</v>
      </c>
    </row>
    <row r="65" spans="1:11" ht="11.25" customHeight="1" x14ac:dyDescent="0.25">
      <c r="A65" s="1396" t="s">
        <v>1376</v>
      </c>
      <c r="B65" s="103">
        <v>5</v>
      </c>
      <c r="C65" s="108">
        <f t="shared" ref="C65:K65" si="19">SUM(C57:C64)</f>
        <v>107700171</v>
      </c>
      <c r="D65" s="108">
        <f t="shared" si="19"/>
        <v>114048000</v>
      </c>
      <c r="E65" s="106">
        <f t="shared" si="19"/>
        <v>118087200</v>
      </c>
      <c r="F65" s="107">
        <f t="shared" si="19"/>
        <v>0</v>
      </c>
      <c r="G65" s="108">
        <f t="shared" si="19"/>
        <v>0</v>
      </c>
      <c r="H65" s="109">
        <f t="shared" si="19"/>
        <v>0</v>
      </c>
      <c r="I65" s="232">
        <f t="shared" si="19"/>
        <v>0</v>
      </c>
      <c r="J65" s="108">
        <f t="shared" si="19"/>
        <v>0</v>
      </c>
      <c r="K65" s="106">
        <f t="shared" si="19"/>
        <v>0</v>
      </c>
    </row>
    <row r="66" spans="1:11" ht="5.0999999999999996" customHeight="1" x14ac:dyDescent="0.25">
      <c r="A66" s="128"/>
      <c r="B66" s="60"/>
      <c r="C66" s="81"/>
      <c r="D66" s="81"/>
      <c r="E66" s="82"/>
      <c r="F66" s="83"/>
      <c r="G66" s="81"/>
      <c r="H66" s="80"/>
      <c r="I66" s="84"/>
      <c r="J66" s="81"/>
      <c r="K66" s="82"/>
    </row>
    <row r="67" spans="1:11" ht="11.25" customHeight="1" x14ac:dyDescent="0.25">
      <c r="A67" s="249" t="s">
        <v>1372</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37802336</v>
      </c>
      <c r="D68" s="81">
        <f>'A4-FinPerf RE'!D28</f>
        <v>37960565</v>
      </c>
      <c r="E68" s="82">
        <f>'A4-FinPerf RE'!E28</f>
        <v>40721576</v>
      </c>
      <c r="F68" s="83">
        <f>'A4-FinPerf RE'!F28</f>
        <v>42400000</v>
      </c>
      <c r="G68" s="81">
        <f>'A4-FinPerf RE'!G28</f>
        <v>42400000</v>
      </c>
      <c r="H68" s="80">
        <f>'A4-FinPerf RE'!H28</f>
        <v>42400000</v>
      </c>
      <c r="I68" s="84">
        <f>'A4-FinPerf RE'!J28</f>
        <v>44944000</v>
      </c>
      <c r="J68" s="81">
        <f>'A4-FinPerf RE'!K28</f>
        <v>47640640</v>
      </c>
      <c r="K68" s="82">
        <f>'A4-FinPerf RE'!L28</f>
        <v>50499078.399999999</v>
      </c>
    </row>
    <row r="69" spans="1:11" ht="11.25" customHeight="1" x14ac:dyDescent="0.25">
      <c r="A69" s="1160" t="s">
        <v>370</v>
      </c>
      <c r="B69" s="60">
        <v>3</v>
      </c>
      <c r="C69" s="81">
        <f>SUM(C75:C79)</f>
        <v>9743412</v>
      </c>
      <c r="D69" s="81">
        <f t="shared" ref="D69:K69" si="20">SUM(D75:D79)</f>
        <v>9180043</v>
      </c>
      <c r="E69" s="82">
        <f t="shared" si="20"/>
        <v>7874188</v>
      </c>
      <c r="F69" s="83">
        <f t="shared" si="20"/>
        <v>13545812.27</v>
      </c>
      <c r="G69" s="81">
        <f t="shared" si="20"/>
        <v>12729542.210000001</v>
      </c>
      <c r="H69" s="80">
        <f t="shared" si="20"/>
        <v>12729542.210000001</v>
      </c>
      <c r="I69" s="84">
        <f t="shared" si="20"/>
        <v>13093442.809999999</v>
      </c>
      <c r="J69" s="81">
        <f t="shared" si="20"/>
        <v>13879049.390000001</v>
      </c>
      <c r="K69" s="82">
        <f t="shared" si="20"/>
        <v>14711792.34</v>
      </c>
    </row>
    <row r="70" spans="1:11" ht="11.25" customHeight="1" x14ac:dyDescent="0.25">
      <c r="A70" s="1324" t="s">
        <v>367</v>
      </c>
      <c r="B70" s="228"/>
      <c r="C70" s="923">
        <f>SA34c!C7</f>
        <v>3225367</v>
      </c>
      <c r="D70" s="923">
        <f>SA34c!D7</f>
        <v>0</v>
      </c>
      <c r="E70" s="924">
        <f>SA34c!E7</f>
        <v>0</v>
      </c>
      <c r="F70" s="925">
        <f>SA34c!F7</f>
        <v>0</v>
      </c>
      <c r="G70" s="923">
        <f>SA34c!G7</f>
        <v>0</v>
      </c>
      <c r="H70" s="926">
        <f>SA34c!H7</f>
        <v>0</v>
      </c>
      <c r="I70" s="927">
        <f>SA34c!I7</f>
        <v>1633986</v>
      </c>
      <c r="J70" s="923">
        <f>SA34c!J7</f>
        <v>1732025.16</v>
      </c>
      <c r="K70" s="924">
        <f>SA34c!K7</f>
        <v>1835946.67</v>
      </c>
    </row>
    <row r="71" spans="1:11" ht="11.25" customHeight="1" x14ac:dyDescent="0.25">
      <c r="A71" s="1324" t="s">
        <v>705</v>
      </c>
      <c r="B71" s="228"/>
      <c r="C71" s="923">
        <f>SA34c!C10</f>
        <v>2020506</v>
      </c>
      <c r="D71" s="923">
        <f>SA34c!D10</f>
        <v>0</v>
      </c>
      <c r="E71" s="924">
        <f>SA34c!E10</f>
        <v>0</v>
      </c>
      <c r="F71" s="925">
        <f>SA34c!F10</f>
        <v>1866802.4</v>
      </c>
      <c r="G71" s="923">
        <f>SA34c!G10</f>
        <v>460000</v>
      </c>
      <c r="H71" s="926">
        <f>SA34c!H10</f>
        <v>460000</v>
      </c>
      <c r="I71" s="927">
        <f>SA34c!I10</f>
        <v>3208265.18</v>
      </c>
      <c r="J71" s="923">
        <f>SA34c!J10</f>
        <v>3400761.09</v>
      </c>
      <c r="K71" s="924">
        <f>SA34c!K10</f>
        <v>3604806.76</v>
      </c>
    </row>
    <row r="72" spans="1:11" ht="11.25" customHeight="1" x14ac:dyDescent="0.25">
      <c r="A72" s="1324" t="s">
        <v>368</v>
      </c>
      <c r="B72" s="228"/>
      <c r="C72" s="923">
        <f>SA34c!C14</f>
        <v>0</v>
      </c>
      <c r="D72" s="923">
        <f>SA34c!D14</f>
        <v>0</v>
      </c>
      <c r="E72" s="924">
        <f>SA34c!E14</f>
        <v>0</v>
      </c>
      <c r="F72" s="925">
        <f>SA34c!F14</f>
        <v>0</v>
      </c>
      <c r="G72" s="923">
        <f>SA34c!G14</f>
        <v>0</v>
      </c>
      <c r="H72" s="926">
        <f>SA34c!H14</f>
        <v>0</v>
      </c>
      <c r="I72" s="927">
        <f>SA34c!I14</f>
        <v>0</v>
      </c>
      <c r="J72" s="923">
        <f>SA34c!J14</f>
        <v>0</v>
      </c>
      <c r="K72" s="924">
        <f>SA34c!K14</f>
        <v>0</v>
      </c>
    </row>
    <row r="73" spans="1:11" ht="11.25" customHeight="1" x14ac:dyDescent="0.25">
      <c r="A73" s="1324" t="s">
        <v>369</v>
      </c>
      <c r="B73" s="228"/>
      <c r="C73" s="923">
        <f>SA34c!C18</f>
        <v>0</v>
      </c>
      <c r="D73" s="923">
        <f>SA34c!D18</f>
        <v>0</v>
      </c>
      <c r="E73" s="924">
        <f>SA34c!E18</f>
        <v>0</v>
      </c>
      <c r="F73" s="925">
        <f>SA34c!F18</f>
        <v>0</v>
      </c>
      <c r="G73" s="923">
        <f>SA34c!G18</f>
        <v>0</v>
      </c>
      <c r="H73" s="926">
        <f>SA34c!H18</f>
        <v>0</v>
      </c>
      <c r="I73" s="927">
        <f>SA34c!I18</f>
        <v>0</v>
      </c>
      <c r="J73" s="923">
        <f>SA34c!J18</f>
        <v>0</v>
      </c>
      <c r="K73" s="924">
        <f>SA34c!K18</f>
        <v>0</v>
      </c>
    </row>
    <row r="74" spans="1:11" ht="11.25" customHeight="1" x14ac:dyDescent="0.25">
      <c r="A74" s="1324" t="s">
        <v>648</v>
      </c>
      <c r="B74" s="228"/>
      <c r="C74" s="923">
        <f>SA34c!C21</f>
        <v>315665</v>
      </c>
      <c r="D74" s="923">
        <f>SA34c!D21</f>
        <v>456813</v>
      </c>
      <c r="E74" s="924">
        <f>SA34c!E21</f>
        <v>112005</v>
      </c>
      <c r="F74" s="925">
        <f>SA34c!F21</f>
        <v>0</v>
      </c>
      <c r="G74" s="923">
        <f>SA34c!G21</f>
        <v>0</v>
      </c>
      <c r="H74" s="926">
        <f>SA34c!H21</f>
        <v>0</v>
      </c>
      <c r="I74" s="927">
        <f>SA34c!I21</f>
        <v>730000</v>
      </c>
      <c r="J74" s="923">
        <f>SA34c!J21</f>
        <v>773800</v>
      </c>
      <c r="K74" s="924">
        <f>SA34c!K21</f>
        <v>820228</v>
      </c>
    </row>
    <row r="75" spans="1:11" ht="11.25" customHeight="1" x14ac:dyDescent="0.25">
      <c r="A75" s="242" t="str">
        <f>$A$11</f>
        <v>Infrastructure</v>
      </c>
      <c r="B75" s="228"/>
      <c r="C75" s="885">
        <f>SUM(C70:C74)</f>
        <v>5561538</v>
      </c>
      <c r="D75" s="885">
        <f t="shared" ref="D75:K75" si="21">SUM(D70:D74)</f>
        <v>456813</v>
      </c>
      <c r="E75" s="886">
        <f t="shared" si="21"/>
        <v>112005</v>
      </c>
      <c r="F75" s="887">
        <f t="shared" si="21"/>
        <v>1866802.4</v>
      </c>
      <c r="G75" s="885">
        <f t="shared" si="21"/>
        <v>460000</v>
      </c>
      <c r="H75" s="888">
        <f t="shared" si="21"/>
        <v>460000</v>
      </c>
      <c r="I75" s="889">
        <f t="shared" si="21"/>
        <v>5572251.1799999997</v>
      </c>
      <c r="J75" s="885">
        <f t="shared" si="21"/>
        <v>5906586.25</v>
      </c>
      <c r="K75" s="886">
        <f t="shared" si="21"/>
        <v>6260981.4299999997</v>
      </c>
    </row>
    <row r="76" spans="1:11" ht="11.25" customHeight="1" x14ac:dyDescent="0.25">
      <c r="A76" s="245" t="str">
        <f>A12</f>
        <v>Community</v>
      </c>
      <c r="B76" s="60"/>
      <c r="C76" s="923">
        <f>SA34c!C27</f>
        <v>1993634</v>
      </c>
      <c r="D76" s="923">
        <f>SA34c!D27</f>
        <v>776458</v>
      </c>
      <c r="E76" s="924">
        <f>SA34c!E27</f>
        <v>912102</v>
      </c>
      <c r="F76" s="925">
        <f>SA34c!F27</f>
        <v>2550175.4700000002</v>
      </c>
      <c r="G76" s="923">
        <f>SA34c!G27</f>
        <v>2550175.4700000002</v>
      </c>
      <c r="H76" s="926">
        <f>SA34c!H27</f>
        <v>2550175.4700000002</v>
      </c>
      <c r="I76" s="927">
        <f>SA34c!I27</f>
        <v>324000</v>
      </c>
      <c r="J76" s="923">
        <f>SA34c!J27</f>
        <v>343440</v>
      </c>
      <c r="K76" s="924">
        <f>SA34c!K27</f>
        <v>364046.4</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1184</v>
      </c>
      <c r="C79" s="923">
        <f>SA34c!C51+SA34c!C65+SA34c!C69+SA34c!C73</f>
        <v>2188240</v>
      </c>
      <c r="D79" s="923">
        <f>SA34c!D51+SA34c!D65+SA34c!D69+SA34c!D73</f>
        <v>7946772</v>
      </c>
      <c r="E79" s="924">
        <f>SA34c!E51+SA34c!E65+SA34c!E69+SA34c!E73</f>
        <v>6850081</v>
      </c>
      <c r="F79" s="925">
        <f>SA34c!F51+SA34c!F65+SA34c!F69+SA34c!F73</f>
        <v>9128834.4000000004</v>
      </c>
      <c r="G79" s="923">
        <f>SA34c!G51+SA34c!G65+SA34c!G69+SA34c!G73</f>
        <v>9719366.7400000002</v>
      </c>
      <c r="H79" s="926">
        <f>SA34c!H51+SA34c!H65+SA34c!H69+SA34c!H73</f>
        <v>9719366.7400000002</v>
      </c>
      <c r="I79" s="927">
        <f>SA34c!I51+SA34c!I65+SA34c!I69+SA34c!I73</f>
        <v>7197191.6299999999</v>
      </c>
      <c r="J79" s="923">
        <f>SA34c!J51+SA34c!J65+SA34c!J69+SA34c!J73</f>
        <v>7629023.1399999997</v>
      </c>
      <c r="K79" s="924">
        <f>SA34c!K51+SA34c!K65+SA34c!K69+SA34c!K73</f>
        <v>8086764.5099999998</v>
      </c>
    </row>
    <row r="80" spans="1:11" ht="11.25" customHeight="1" x14ac:dyDescent="0.25">
      <c r="A80" s="102" t="s">
        <v>1373</v>
      </c>
      <c r="B80" s="103"/>
      <c r="C80" s="91">
        <f t="shared" ref="C80:K80" si="22">SUM(C68:C69)</f>
        <v>47545748</v>
      </c>
      <c r="D80" s="91">
        <f t="shared" si="22"/>
        <v>47140608</v>
      </c>
      <c r="E80" s="92">
        <f t="shared" si="22"/>
        <v>48595764</v>
      </c>
      <c r="F80" s="93">
        <f t="shared" si="22"/>
        <v>55945812.269999996</v>
      </c>
      <c r="G80" s="91">
        <f t="shared" si="22"/>
        <v>55129542.210000001</v>
      </c>
      <c r="H80" s="90">
        <f t="shared" si="22"/>
        <v>55129542.210000001</v>
      </c>
      <c r="I80" s="94">
        <f t="shared" si="22"/>
        <v>58037442.810000002</v>
      </c>
      <c r="J80" s="91">
        <f t="shared" si="22"/>
        <v>61519689.390000001</v>
      </c>
      <c r="K80" s="92">
        <f t="shared" si="22"/>
        <v>65210870.739999995</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1858</v>
      </c>
      <c r="B82" s="252"/>
      <c r="C82" s="253">
        <f>IF(ISERROR(C20/C49),0,(C20/C49))</f>
        <v>0.5215115725590842</v>
      </c>
      <c r="D82" s="253">
        <f t="shared" ref="D82:K82" si="23">IF(ISERROR(D20/D49),0,(D20/D49))</f>
        <v>9.1935215116363461E-2</v>
      </c>
      <c r="E82" s="254">
        <f t="shared" si="23"/>
        <v>0</v>
      </c>
      <c r="F82" s="255">
        <f t="shared" si="23"/>
        <v>0.16864315581455641</v>
      </c>
      <c r="G82" s="253">
        <f t="shared" si="23"/>
        <v>9.6793590810284061E-2</v>
      </c>
      <c r="H82" s="256">
        <f t="shared" si="23"/>
        <v>9.6793590810284061E-2</v>
      </c>
      <c r="I82" s="257">
        <f t="shared" si="23"/>
        <v>0.33723536564241069</v>
      </c>
      <c r="J82" s="253">
        <f t="shared" si="23"/>
        <v>0.33968630847246467</v>
      </c>
      <c r="K82" s="254">
        <f t="shared" si="23"/>
        <v>0.33620225432907902</v>
      </c>
    </row>
    <row r="83" spans="1:11" ht="11.25" customHeight="1" x14ac:dyDescent="0.25">
      <c r="A83" s="251" t="s">
        <v>1374</v>
      </c>
      <c r="B83" s="252"/>
      <c r="C83" s="253">
        <f>IF(ISERROR(C20/C68),0,(C20/C68))</f>
        <v>0.78283521949543011</v>
      </c>
      <c r="D83" s="253">
        <f t="shared" ref="D83:K83" si="24">IF(ISERROR(D20/D68),0,(D20/D68))</f>
        <v>8.4141098268690151E-2</v>
      </c>
      <c r="E83" s="254">
        <f t="shared" si="24"/>
        <v>0</v>
      </c>
      <c r="F83" s="255">
        <f t="shared" si="24"/>
        <v>0.28166275943396224</v>
      </c>
      <c r="G83" s="253">
        <f t="shared" si="24"/>
        <v>0.15627360849056604</v>
      </c>
      <c r="H83" s="256">
        <f t="shared" si="24"/>
        <v>0.15627360849056604</v>
      </c>
      <c r="I83" s="257">
        <f t="shared" si="24"/>
        <v>0.49153613385546457</v>
      </c>
      <c r="J83" s="253">
        <f t="shared" si="24"/>
        <v>0.49153613385546457</v>
      </c>
      <c r="K83" s="254">
        <f t="shared" si="24"/>
        <v>0.49153613385546463</v>
      </c>
    </row>
    <row r="84" spans="1:11" ht="11.25" customHeight="1" x14ac:dyDescent="0.25">
      <c r="A84" s="251" t="s">
        <v>881</v>
      </c>
      <c r="B84" s="252"/>
      <c r="C84" s="253">
        <f>IF(ISERROR(ROUND(C69/'A6-FinPos'!C19,3)),0,(ROUND(C69/'A6-FinPos'!C19,3)))</f>
        <v>0</v>
      </c>
      <c r="D84" s="253">
        <f>IF(ISERROR(ROUND(D69/'A6-FinPos'!D19,3)),0,(ROUND(D69/'A6-FinPos'!D19,3)))</f>
        <v>1.2E-2</v>
      </c>
      <c r="E84" s="254">
        <f>IF(ISERROR(ROUND(E69/'A6-FinPos'!E19,3)),0,(ROUND(E69/'A6-FinPos'!E19,3)))</f>
        <v>0.01</v>
      </c>
      <c r="F84" s="255">
        <f>IF(ISERROR(ROUND(F69/'A6-FinPos'!F19,3)),0,(ROUND(F69/'A6-FinPos'!F19,3)))</f>
        <v>0.17299999999999999</v>
      </c>
      <c r="G84" s="253">
        <f>IF(ISERROR(ROUND(G69/'A6-FinPos'!G19,3)),0,(ROUND(G69/'A6-FinPos'!G19,3)))</f>
        <v>0.16300000000000001</v>
      </c>
      <c r="H84" s="256">
        <f>IF(ISERROR(ROUND(H69/'A6-FinPos'!H19,3)),0,(ROUND(H69/'A6-FinPos'!H19,3)))</f>
        <v>0.16300000000000001</v>
      </c>
      <c r="I84" s="257">
        <f>IF(ISERROR(ROUND(I69/'A6-FinPos'!J19,3)),0,(ROUND(I69/'A6-FinPos'!J19,3)))</f>
        <v>0.158</v>
      </c>
      <c r="J84" s="253">
        <f>IF(ISERROR(ROUND(J69/'A6-FinPos'!K19,3)),0,(ROUND(J69/'A6-FinPos'!K19,3)))</f>
        <v>0.158</v>
      </c>
      <c r="K84" s="254">
        <f>IF(ISERROR(ROUND(K69/'A6-FinPos'!L19,3)),0,(ROUND(K69/'A6-FinPos'!L19,3)))</f>
        <v>0.158</v>
      </c>
    </row>
    <row r="85" spans="1:11" ht="11.25" customHeight="1" x14ac:dyDescent="0.25">
      <c r="A85" s="251" t="s">
        <v>513</v>
      </c>
      <c r="B85" s="252"/>
      <c r="C85" s="253">
        <f>IF(ISERROR(ROUND((C20+C69)/C65,2)),0,(ROUND((C20+C69)/C65,2)))</f>
        <v>0.37</v>
      </c>
      <c r="D85" s="253">
        <f t="shared" ref="D85:K85" si="25">IF(ISERROR(ROUND((D20+D69)/D65,2)),0,(ROUND((D20+D69)/D65,2)))</f>
        <v>0.11</v>
      </c>
      <c r="E85" s="254">
        <f t="shared" si="25"/>
        <v>7.0000000000000007E-2</v>
      </c>
      <c r="F85" s="255">
        <f t="shared" si="25"/>
        <v>0</v>
      </c>
      <c r="G85" s="253">
        <f t="shared" si="25"/>
        <v>0</v>
      </c>
      <c r="H85" s="256">
        <f t="shared" si="25"/>
        <v>0</v>
      </c>
      <c r="I85" s="257">
        <f t="shared" si="25"/>
        <v>0</v>
      </c>
      <c r="J85" s="253">
        <f t="shared" si="25"/>
        <v>0</v>
      </c>
      <c r="K85" s="254">
        <f t="shared" si="25"/>
        <v>0</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1975</v>
      </c>
      <c r="B95" s="1122"/>
      <c r="C95" s="1125">
        <f>C65-'A6-FinPos'!C17-'A6-FinPos'!C19-'A6-FinPos'!C21-'A6-FinPos'!C22</f>
        <v>0</v>
      </c>
      <c r="D95" s="1125">
        <f>D65-'A6-FinPos'!D17-'A6-FinPos'!D19-'A6-FinPos'!D21-'A6-FinPos'!D22</f>
        <v>-788573861</v>
      </c>
      <c r="E95" s="1125">
        <f>E65-'A6-FinPos'!E17-'A6-FinPos'!E19-'A6-FinPos'!E21-'A6-FinPos'!E22</f>
        <v>-793054824</v>
      </c>
      <c r="F95" s="1125">
        <f>F65-'A6-FinPos'!F17-'A6-FinPos'!F19-'A6-FinPos'!F21-'A6-FinPos'!F22</f>
        <v>-78213000</v>
      </c>
      <c r="G95" s="1125">
        <f>G65-'A6-FinPos'!G17-'A6-FinPos'!G19-'A6-FinPos'!G21-'A6-FinPos'!G22</f>
        <v>-78213000</v>
      </c>
      <c r="H95" s="1125">
        <f>H65-'A6-FinPos'!H17-'A6-FinPos'!H19-'A6-FinPos'!H21-'A6-FinPos'!H22</f>
        <v>-78213000</v>
      </c>
      <c r="I95" s="1125">
        <f>I65-'A6-FinPos'!J17-'A6-FinPos'!J19-'A6-FinPos'!J21-'A6-FinPos'!J22</f>
        <v>-82905780</v>
      </c>
      <c r="J95" s="1125">
        <f>J65-'A6-FinPos'!K17-'A6-FinPos'!K19-'A6-FinPos'!K21-'A6-FinPos'!K22</f>
        <v>-87880126.799999997</v>
      </c>
      <c r="K95" s="1125">
        <f>K65-'A6-FinPos'!L17-'A6-FinPos'!L19-'A6-FinPos'!L21-'A6-FinPos'!L22</f>
        <v>-93152934.408000007</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M134"/>
  <sheetViews>
    <sheetView showGridLines="0" zoomScale="120" zoomScaleNormal="120" workbookViewId="0">
      <pane xSplit="2" ySplit="3" topLeftCell="C44" activePane="bottomRight" state="frozen"/>
      <selection pane="topRight"/>
      <selection pane="bottomLeft"/>
      <selection pane="bottomRight" activeCell="F57" sqref="F57"/>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LIM471 Ephraim Mogale - Table A10 Basic service delivery measurement</v>
      </c>
      <c r="B1" s="981"/>
      <c r="C1" s="981"/>
      <c r="D1" s="981"/>
      <c r="E1" s="981"/>
      <c r="F1" s="981"/>
      <c r="G1" s="981"/>
      <c r="H1" s="981"/>
      <c r="I1" s="981"/>
      <c r="J1" s="981"/>
      <c r="K1" s="981"/>
    </row>
    <row r="2" spans="1:13" ht="28.5" customHeight="1" x14ac:dyDescent="0.25">
      <c r="A2" s="2676" t="str">
        <f>desc</f>
        <v>Description</v>
      </c>
      <c r="B2" s="2678" t="str">
        <f>head27</f>
        <v>Ref</v>
      </c>
      <c r="C2" s="983" t="str">
        <f>head1b</f>
        <v>2012/13</v>
      </c>
      <c r="D2" s="983" t="str">
        <f>head1A</f>
        <v>2013/14</v>
      </c>
      <c r="E2" s="984" t="str">
        <f>Head1</f>
        <v>2014/15</v>
      </c>
      <c r="F2" s="2659" t="str">
        <f>Head2</f>
        <v>Current Year 2015/16</v>
      </c>
      <c r="G2" s="2660"/>
      <c r="H2" s="2675"/>
      <c r="I2" s="2661" t="str">
        <f>Head3</f>
        <v>2016/17 Medium Term Revenue &amp; Expenditure Framework</v>
      </c>
      <c r="J2" s="2662"/>
      <c r="K2" s="2663"/>
    </row>
    <row r="3" spans="1:13" ht="25.5" x14ac:dyDescent="0.25">
      <c r="A3" s="2677"/>
      <c r="B3" s="2679"/>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row>
    <row r="4" spans="1:13" s="1930" customFormat="1" ht="11.25" customHeight="1" x14ac:dyDescent="0.25">
      <c r="A4" s="988" t="s">
        <v>2123</v>
      </c>
      <c r="B4" s="989">
        <v>1</v>
      </c>
      <c r="C4" s="1931"/>
      <c r="D4" s="1931"/>
      <c r="E4" s="1932"/>
      <c r="F4" s="1933"/>
      <c r="G4" s="1931"/>
      <c r="H4" s="1934"/>
      <c r="I4" s="1935"/>
      <c r="J4" s="1931"/>
      <c r="K4" s="1932"/>
    </row>
    <row r="5" spans="1:13" s="1930" customFormat="1" x14ac:dyDescent="0.25">
      <c r="A5" s="995" t="s">
        <v>1760</v>
      </c>
      <c r="B5" s="989"/>
      <c r="C5" s="1901"/>
      <c r="D5" s="1901"/>
      <c r="E5" s="1902"/>
      <c r="F5" s="1903"/>
      <c r="G5" s="1901"/>
      <c r="H5" s="1904"/>
      <c r="I5" s="1905"/>
      <c r="J5" s="1901"/>
      <c r="K5" s="1902"/>
    </row>
    <row r="6" spans="1:13" ht="11.25" customHeight="1" x14ac:dyDescent="0.25">
      <c r="A6" s="996" t="s">
        <v>1574</v>
      </c>
      <c r="B6" s="989"/>
      <c r="C6" s="1922">
        <f>'SA9'!E67</f>
        <v>0</v>
      </c>
      <c r="D6" s="1922">
        <f>'SA9'!F67</f>
        <v>0</v>
      </c>
      <c r="E6" s="2590">
        <f>'SA9'!G67</f>
        <v>0</v>
      </c>
      <c r="F6" s="1926">
        <f>'SA9'!H67</f>
        <v>0</v>
      </c>
      <c r="G6" s="1922">
        <f>'SA9'!I67</f>
        <v>0</v>
      </c>
      <c r="H6" s="2590">
        <f>'SA9'!J67</f>
        <v>0</v>
      </c>
      <c r="I6" s="1926">
        <f>'SA9'!K67</f>
        <v>0</v>
      </c>
      <c r="J6" s="1922">
        <f>'SA9'!L67</f>
        <v>0</v>
      </c>
      <c r="K6" s="2590">
        <f>'SA9'!M67</f>
        <v>0</v>
      </c>
      <c r="L6" s="1317"/>
      <c r="M6" s="1317"/>
    </row>
    <row r="7" spans="1:13" ht="11.25" customHeight="1" x14ac:dyDescent="0.25">
      <c r="A7" s="996" t="s">
        <v>1759</v>
      </c>
      <c r="B7" s="989"/>
      <c r="C7" s="1922">
        <f>'SA9'!E68</f>
        <v>0</v>
      </c>
      <c r="D7" s="1922">
        <f>'SA9'!F68</f>
        <v>0</v>
      </c>
      <c r="E7" s="2590">
        <f>'SA9'!G68</f>
        <v>0</v>
      </c>
      <c r="F7" s="1926">
        <f>'SA9'!H68</f>
        <v>0</v>
      </c>
      <c r="G7" s="1922">
        <f>'SA9'!I68</f>
        <v>0</v>
      </c>
      <c r="H7" s="2590">
        <f>'SA9'!J68</f>
        <v>0</v>
      </c>
      <c r="I7" s="1926">
        <f>'SA9'!K68</f>
        <v>0</v>
      </c>
      <c r="J7" s="1922">
        <f>'SA9'!L68</f>
        <v>0</v>
      </c>
      <c r="K7" s="2590">
        <f>'SA9'!M68</f>
        <v>0</v>
      </c>
      <c r="L7" s="1317"/>
      <c r="M7" s="1317"/>
    </row>
    <row r="8" spans="1:13" ht="11.25" customHeight="1" x14ac:dyDescent="0.25">
      <c r="A8" s="996" t="s">
        <v>131</v>
      </c>
      <c r="B8" s="989">
        <v>2</v>
      </c>
      <c r="C8" s="1922">
        <f>'SA9'!E69</f>
        <v>0</v>
      </c>
      <c r="D8" s="1922">
        <f>'SA9'!F69</f>
        <v>0</v>
      </c>
      <c r="E8" s="2590">
        <f>'SA9'!G69</f>
        <v>0</v>
      </c>
      <c r="F8" s="1926">
        <f>'SA9'!H69</f>
        <v>0</v>
      </c>
      <c r="G8" s="1922">
        <f>'SA9'!I69</f>
        <v>0</v>
      </c>
      <c r="H8" s="2590">
        <f>'SA9'!J69</f>
        <v>0</v>
      </c>
      <c r="I8" s="1926">
        <f>'SA9'!K69</f>
        <v>0</v>
      </c>
      <c r="J8" s="1922">
        <f>'SA9'!L69</f>
        <v>0</v>
      </c>
      <c r="K8" s="2590">
        <f>'SA9'!M69</f>
        <v>0</v>
      </c>
      <c r="L8" s="1317"/>
      <c r="M8" s="1317"/>
    </row>
    <row r="9" spans="1:13" ht="11.25" customHeight="1" x14ac:dyDescent="0.25">
      <c r="A9" s="996" t="s">
        <v>132</v>
      </c>
      <c r="B9" s="989">
        <v>4</v>
      </c>
      <c r="C9" s="1922">
        <f>'SA9'!E70</f>
        <v>0</v>
      </c>
      <c r="D9" s="1922">
        <f>'SA9'!F70</f>
        <v>0</v>
      </c>
      <c r="E9" s="2590">
        <f>'SA9'!G70</f>
        <v>0</v>
      </c>
      <c r="F9" s="1926">
        <f>'SA9'!H70</f>
        <v>0</v>
      </c>
      <c r="G9" s="1922">
        <f>'SA9'!I70</f>
        <v>0</v>
      </c>
      <c r="H9" s="2590">
        <f>'SA9'!J70</f>
        <v>0</v>
      </c>
      <c r="I9" s="1926">
        <f>'SA9'!K70</f>
        <v>0</v>
      </c>
      <c r="J9" s="1922">
        <f>'SA9'!L70</f>
        <v>0</v>
      </c>
      <c r="K9" s="2590">
        <f>'SA9'!M70</f>
        <v>0</v>
      </c>
      <c r="L9" s="1317"/>
      <c r="M9" s="1317"/>
    </row>
    <row r="10" spans="1:13" ht="11.25" customHeight="1" x14ac:dyDescent="0.25">
      <c r="A10" s="1391" t="s">
        <v>358</v>
      </c>
      <c r="B10" s="989"/>
      <c r="C10" s="1907">
        <f>SUM(C6:C9)</f>
        <v>0</v>
      </c>
      <c r="D10" s="1907">
        <f t="shared" ref="D10:K10" si="0">SUM(D6:D9)</f>
        <v>0</v>
      </c>
      <c r="E10" s="1908">
        <f t="shared" si="0"/>
        <v>0</v>
      </c>
      <c r="F10" s="1909">
        <f t="shared" si="0"/>
        <v>0</v>
      </c>
      <c r="G10" s="1907">
        <f t="shared" si="0"/>
        <v>0</v>
      </c>
      <c r="H10" s="1910">
        <f t="shared" si="0"/>
        <v>0</v>
      </c>
      <c r="I10" s="1911">
        <f t="shared" si="0"/>
        <v>0</v>
      </c>
      <c r="J10" s="1907">
        <f t="shared" si="0"/>
        <v>0</v>
      </c>
      <c r="K10" s="1908">
        <f t="shared" si="0"/>
        <v>0</v>
      </c>
      <c r="L10" s="1317"/>
      <c r="M10" s="1317"/>
    </row>
    <row r="11" spans="1:13" ht="11.25" customHeight="1" x14ac:dyDescent="0.25">
      <c r="A11" s="996" t="s">
        <v>481</v>
      </c>
      <c r="B11" s="989">
        <v>3</v>
      </c>
      <c r="C11" s="1922">
        <f>'SA9'!E72</f>
        <v>0</v>
      </c>
      <c r="D11" s="1922">
        <f>'SA9'!F72</f>
        <v>0</v>
      </c>
      <c r="E11" s="2590">
        <f>'SA9'!G72</f>
        <v>0</v>
      </c>
      <c r="F11" s="1926">
        <f>'SA9'!H72</f>
        <v>0</v>
      </c>
      <c r="G11" s="1922">
        <f>'SA9'!I72</f>
        <v>0</v>
      </c>
      <c r="H11" s="2590">
        <f>'SA9'!J72</f>
        <v>0</v>
      </c>
      <c r="I11" s="1926">
        <f>'SA9'!K72</f>
        <v>0</v>
      </c>
      <c r="J11" s="1922">
        <f>'SA9'!L72</f>
        <v>0</v>
      </c>
      <c r="K11" s="2590">
        <f>'SA9'!M72</f>
        <v>0</v>
      </c>
      <c r="L11" s="1317"/>
      <c r="M11" s="1317"/>
    </row>
    <row r="12" spans="1:13" ht="11.25" customHeight="1" x14ac:dyDescent="0.25">
      <c r="A12" s="996" t="s">
        <v>482</v>
      </c>
      <c r="B12" s="989">
        <f>B9</f>
        <v>4</v>
      </c>
      <c r="C12" s="1922">
        <f>'SA9'!E73</f>
        <v>0</v>
      </c>
      <c r="D12" s="1922">
        <f>'SA9'!F73</f>
        <v>0</v>
      </c>
      <c r="E12" s="2590">
        <f>'SA9'!G73</f>
        <v>0</v>
      </c>
      <c r="F12" s="1926">
        <f>'SA9'!H73</f>
        <v>0</v>
      </c>
      <c r="G12" s="1922">
        <f>'SA9'!I73</f>
        <v>0</v>
      </c>
      <c r="H12" s="2590">
        <f>'SA9'!J73</f>
        <v>0</v>
      </c>
      <c r="I12" s="1926">
        <f>'SA9'!K73</f>
        <v>0</v>
      </c>
      <c r="J12" s="1922">
        <f>'SA9'!L73</f>
        <v>0</v>
      </c>
      <c r="K12" s="2590">
        <f>'SA9'!M73</f>
        <v>0</v>
      </c>
      <c r="L12" s="1317"/>
      <c r="M12" s="1317"/>
    </row>
    <row r="13" spans="1:13" ht="11.25" customHeight="1" x14ac:dyDescent="0.25">
      <c r="A13" s="996" t="s">
        <v>926</v>
      </c>
      <c r="B13" s="989"/>
      <c r="C13" s="1922">
        <f>'SA9'!E74</f>
        <v>0</v>
      </c>
      <c r="D13" s="1922">
        <f>'SA9'!F74</f>
        <v>0</v>
      </c>
      <c r="E13" s="2590">
        <f>'SA9'!G74</f>
        <v>0</v>
      </c>
      <c r="F13" s="1926">
        <f>'SA9'!H74</f>
        <v>0</v>
      </c>
      <c r="G13" s="1922">
        <f>'SA9'!I74</f>
        <v>0</v>
      </c>
      <c r="H13" s="2590">
        <f>'SA9'!J74</f>
        <v>0</v>
      </c>
      <c r="I13" s="1926">
        <f>'SA9'!K74</f>
        <v>0</v>
      </c>
      <c r="J13" s="1922">
        <f>'SA9'!L74</f>
        <v>0</v>
      </c>
      <c r="K13" s="2590">
        <f>'SA9'!M74</f>
        <v>0</v>
      </c>
      <c r="L13" s="1317"/>
      <c r="M13" s="1317"/>
    </row>
    <row r="14" spans="1:13" ht="11.25" customHeight="1" x14ac:dyDescent="0.25">
      <c r="A14" s="1391" t="s">
        <v>1240</v>
      </c>
      <c r="B14" s="989"/>
      <c r="C14" s="1912">
        <f>SUM(C11:C13)</f>
        <v>0</v>
      </c>
      <c r="D14" s="1912">
        <f t="shared" ref="D14:K14" si="1">SUM(D11:D13)</f>
        <v>0</v>
      </c>
      <c r="E14" s="1913">
        <f t="shared" si="1"/>
        <v>0</v>
      </c>
      <c r="F14" s="1914">
        <f t="shared" si="1"/>
        <v>0</v>
      </c>
      <c r="G14" s="1912">
        <f t="shared" si="1"/>
        <v>0</v>
      </c>
      <c r="H14" s="1915">
        <f t="shared" si="1"/>
        <v>0</v>
      </c>
      <c r="I14" s="1916">
        <f t="shared" si="1"/>
        <v>0</v>
      </c>
      <c r="J14" s="1912">
        <f t="shared" si="1"/>
        <v>0</v>
      </c>
      <c r="K14" s="1913">
        <f t="shared" si="1"/>
        <v>0</v>
      </c>
      <c r="L14" s="1317"/>
      <c r="M14" s="1317"/>
    </row>
    <row r="15" spans="1:13" ht="11.25" customHeight="1" x14ac:dyDescent="0.25">
      <c r="A15" s="997" t="s">
        <v>1276</v>
      </c>
      <c r="B15" s="989">
        <v>5</v>
      </c>
      <c r="C15" s="1917">
        <f>C10+C14</f>
        <v>0</v>
      </c>
      <c r="D15" s="1917">
        <f t="shared" ref="D15:K15" si="2">D10+D14</f>
        <v>0</v>
      </c>
      <c r="E15" s="1918">
        <f t="shared" si="2"/>
        <v>0</v>
      </c>
      <c r="F15" s="1919">
        <f t="shared" si="2"/>
        <v>0</v>
      </c>
      <c r="G15" s="1917">
        <f t="shared" si="2"/>
        <v>0</v>
      </c>
      <c r="H15" s="1920">
        <f t="shared" si="2"/>
        <v>0</v>
      </c>
      <c r="I15" s="1921">
        <f t="shared" si="2"/>
        <v>0</v>
      </c>
      <c r="J15" s="1917">
        <f t="shared" si="2"/>
        <v>0</v>
      </c>
      <c r="K15" s="1918">
        <f t="shared" si="2"/>
        <v>0</v>
      </c>
      <c r="L15" s="1317"/>
      <c r="M15" s="1317"/>
    </row>
    <row r="16" spans="1:13" s="1930" customFormat="1" ht="15.75" customHeight="1" x14ac:dyDescent="0.25">
      <c r="A16" s="995" t="s">
        <v>1277</v>
      </c>
      <c r="B16" s="989"/>
      <c r="C16" s="1901"/>
      <c r="D16" s="1901"/>
      <c r="E16" s="1902"/>
      <c r="F16" s="1903"/>
      <c r="G16" s="1901"/>
      <c r="H16" s="1904"/>
      <c r="I16" s="1905"/>
      <c r="J16" s="1901"/>
      <c r="K16" s="1902"/>
      <c r="L16" s="1929"/>
      <c r="M16" s="1929"/>
    </row>
    <row r="17" spans="1:13" ht="11.25" customHeight="1" x14ac:dyDescent="0.25">
      <c r="A17" s="996" t="s">
        <v>1278</v>
      </c>
      <c r="B17" s="989"/>
      <c r="C17" s="1922">
        <f>'SA9'!E78</f>
        <v>0</v>
      </c>
      <c r="D17" s="1922">
        <f>'SA9'!F78</f>
        <v>0</v>
      </c>
      <c r="E17" s="2590">
        <f>'SA9'!G78</f>
        <v>0</v>
      </c>
      <c r="F17" s="1926">
        <f>'SA9'!H78</f>
        <v>0</v>
      </c>
      <c r="G17" s="1922">
        <f>'SA9'!I78</f>
        <v>0</v>
      </c>
      <c r="H17" s="2590">
        <f>'SA9'!J78</f>
        <v>0</v>
      </c>
      <c r="I17" s="1926">
        <f>'SA9'!K78</f>
        <v>0</v>
      </c>
      <c r="J17" s="1922">
        <f>'SA9'!L78</f>
        <v>0</v>
      </c>
      <c r="K17" s="2590">
        <f>'SA9'!M78</f>
        <v>0</v>
      </c>
      <c r="L17" s="1317"/>
      <c r="M17" s="1317"/>
    </row>
    <row r="18" spans="1:13" ht="11.25" customHeight="1" x14ac:dyDescent="0.25">
      <c r="A18" s="996" t="s">
        <v>1279</v>
      </c>
      <c r="B18" s="989"/>
      <c r="C18" s="1922">
        <f>'SA9'!E79</f>
        <v>0</v>
      </c>
      <c r="D18" s="1922">
        <f>'SA9'!F79</f>
        <v>0</v>
      </c>
      <c r="E18" s="2590">
        <f>'SA9'!G79</f>
        <v>0</v>
      </c>
      <c r="F18" s="1926">
        <f>'SA9'!H79</f>
        <v>0</v>
      </c>
      <c r="G18" s="1922">
        <f>'SA9'!I79</f>
        <v>0</v>
      </c>
      <c r="H18" s="2590">
        <f>'SA9'!J79</f>
        <v>0</v>
      </c>
      <c r="I18" s="1926">
        <f>'SA9'!K79</f>
        <v>0</v>
      </c>
      <c r="J18" s="1922">
        <f>'SA9'!L79</f>
        <v>0</v>
      </c>
      <c r="K18" s="2590">
        <f>'SA9'!M79</f>
        <v>0</v>
      </c>
      <c r="L18" s="1317"/>
      <c r="M18" s="1317"/>
    </row>
    <row r="19" spans="1:13" ht="11.25" customHeight="1" x14ac:dyDescent="0.25">
      <c r="A19" s="996" t="s">
        <v>1347</v>
      </c>
      <c r="B19" s="989"/>
      <c r="C19" s="1922">
        <f>'SA9'!E80</f>
        <v>0</v>
      </c>
      <c r="D19" s="1922">
        <f>'SA9'!F80</f>
        <v>0</v>
      </c>
      <c r="E19" s="2590">
        <f>'SA9'!G80</f>
        <v>0</v>
      </c>
      <c r="F19" s="1926">
        <f>'SA9'!H80</f>
        <v>0</v>
      </c>
      <c r="G19" s="1922">
        <f>'SA9'!I80</f>
        <v>0</v>
      </c>
      <c r="H19" s="2590">
        <f>'SA9'!J80</f>
        <v>0</v>
      </c>
      <c r="I19" s="1926">
        <f>'SA9'!K80</f>
        <v>0</v>
      </c>
      <c r="J19" s="1922">
        <f>'SA9'!L80</f>
        <v>0</v>
      </c>
      <c r="K19" s="2590">
        <f>'SA9'!M80</f>
        <v>0</v>
      </c>
      <c r="L19" s="1317"/>
      <c r="M19" s="1317"/>
    </row>
    <row r="20" spans="1:13" ht="11.25" customHeight="1" x14ac:dyDescent="0.25">
      <c r="A20" s="996" t="s">
        <v>240</v>
      </c>
      <c r="B20" s="989"/>
      <c r="C20" s="1922">
        <f>'SA9'!E81</f>
        <v>0</v>
      </c>
      <c r="D20" s="1922">
        <f>'SA9'!F81</f>
        <v>0</v>
      </c>
      <c r="E20" s="2590">
        <f>'SA9'!G81</f>
        <v>0</v>
      </c>
      <c r="F20" s="1926">
        <f>'SA9'!H81</f>
        <v>0</v>
      </c>
      <c r="G20" s="1922">
        <f>'SA9'!I81</f>
        <v>0</v>
      </c>
      <c r="H20" s="2590">
        <f>'SA9'!J81</f>
        <v>0</v>
      </c>
      <c r="I20" s="1926">
        <f>'SA9'!K81</f>
        <v>0</v>
      </c>
      <c r="J20" s="1922">
        <f>'SA9'!L81</f>
        <v>0</v>
      </c>
      <c r="K20" s="2590">
        <f>'SA9'!M81</f>
        <v>0</v>
      </c>
      <c r="L20" s="1317"/>
      <c r="M20" s="1317"/>
    </row>
    <row r="21" spans="1:13" ht="11.25" customHeight="1" x14ac:dyDescent="0.25">
      <c r="A21" s="996" t="s">
        <v>242</v>
      </c>
      <c r="B21" s="989"/>
      <c r="C21" s="1922">
        <f>'SA9'!E82</f>
        <v>0</v>
      </c>
      <c r="D21" s="1922">
        <f>'SA9'!F82</f>
        <v>0</v>
      </c>
      <c r="E21" s="2590">
        <f>'SA9'!G82</f>
        <v>0</v>
      </c>
      <c r="F21" s="1926">
        <f>'SA9'!H82</f>
        <v>0</v>
      </c>
      <c r="G21" s="1922">
        <f>'SA9'!I82</f>
        <v>0</v>
      </c>
      <c r="H21" s="2590">
        <f>'SA9'!J82</f>
        <v>0</v>
      </c>
      <c r="I21" s="1926">
        <f>'SA9'!K82</f>
        <v>0</v>
      </c>
      <c r="J21" s="1922">
        <f>'SA9'!L82</f>
        <v>0</v>
      </c>
      <c r="K21" s="2590">
        <f>'SA9'!M82</f>
        <v>0</v>
      </c>
      <c r="L21" s="1317"/>
      <c r="M21" s="1317"/>
    </row>
    <row r="22" spans="1:13" ht="11.25" customHeight="1" x14ac:dyDescent="0.25">
      <c r="A22" s="1391" t="str">
        <f>$A$10</f>
        <v>Minimum Service Level and Above sub-total</v>
      </c>
      <c r="B22" s="989"/>
      <c r="C22" s="1907">
        <f>SUM(C17:C21)</f>
        <v>0</v>
      </c>
      <c r="D22" s="1907">
        <f t="shared" ref="D22:K22" si="3">SUM(D17:D21)</f>
        <v>0</v>
      </c>
      <c r="E22" s="1908">
        <f t="shared" si="3"/>
        <v>0</v>
      </c>
      <c r="F22" s="1909">
        <f t="shared" si="3"/>
        <v>0</v>
      </c>
      <c r="G22" s="1907">
        <f t="shared" si="3"/>
        <v>0</v>
      </c>
      <c r="H22" s="1910">
        <f t="shared" si="3"/>
        <v>0</v>
      </c>
      <c r="I22" s="1911">
        <f t="shared" si="3"/>
        <v>0</v>
      </c>
      <c r="J22" s="1907">
        <f t="shared" si="3"/>
        <v>0</v>
      </c>
      <c r="K22" s="1908">
        <f t="shared" si="3"/>
        <v>0</v>
      </c>
      <c r="L22" s="1317"/>
      <c r="M22" s="1317"/>
    </row>
    <row r="23" spans="1:13" ht="11.25" customHeight="1" x14ac:dyDescent="0.25">
      <c r="A23" s="996" t="s">
        <v>241</v>
      </c>
      <c r="B23" s="989"/>
      <c r="C23" s="1922">
        <f>'SA9'!E84</f>
        <v>0</v>
      </c>
      <c r="D23" s="1922">
        <f>'SA9'!F84</f>
        <v>0</v>
      </c>
      <c r="E23" s="2590">
        <f>'SA9'!G84</f>
        <v>0</v>
      </c>
      <c r="F23" s="1926">
        <f>'SA9'!H84</f>
        <v>0</v>
      </c>
      <c r="G23" s="1922">
        <f>'SA9'!I84</f>
        <v>0</v>
      </c>
      <c r="H23" s="2590">
        <f>'SA9'!J84</f>
        <v>0</v>
      </c>
      <c r="I23" s="1926">
        <f>'SA9'!K84</f>
        <v>0</v>
      </c>
      <c r="J23" s="1922">
        <f>'SA9'!L84</f>
        <v>0</v>
      </c>
      <c r="K23" s="2590">
        <f>'SA9'!M84</f>
        <v>0</v>
      </c>
      <c r="L23" s="1317"/>
      <c r="M23" s="1317"/>
    </row>
    <row r="24" spans="1:13" ht="11.25" customHeight="1" x14ac:dyDescent="0.25">
      <c r="A24" s="996" t="s">
        <v>1185</v>
      </c>
      <c r="B24" s="989"/>
      <c r="C24" s="1922">
        <f>'SA9'!E85</f>
        <v>0</v>
      </c>
      <c r="D24" s="1922">
        <f>'SA9'!F85</f>
        <v>0</v>
      </c>
      <c r="E24" s="2590">
        <f>'SA9'!G85</f>
        <v>0</v>
      </c>
      <c r="F24" s="1926">
        <f>'SA9'!H85</f>
        <v>0</v>
      </c>
      <c r="G24" s="1922">
        <f>'SA9'!I85</f>
        <v>0</v>
      </c>
      <c r="H24" s="2590">
        <f>'SA9'!J85</f>
        <v>0</v>
      </c>
      <c r="I24" s="1926">
        <f>'SA9'!K85</f>
        <v>0</v>
      </c>
      <c r="J24" s="1922">
        <f>'SA9'!L85</f>
        <v>0</v>
      </c>
      <c r="K24" s="2590">
        <f>'SA9'!M85</f>
        <v>0</v>
      </c>
      <c r="L24" s="1317"/>
      <c r="M24" s="1317"/>
    </row>
    <row r="25" spans="1:13" ht="11.25" customHeight="1" x14ac:dyDescent="0.25">
      <c r="A25" s="996" t="s">
        <v>1349</v>
      </c>
      <c r="B25" s="989"/>
      <c r="C25" s="1922">
        <f>'SA9'!E86</f>
        <v>0</v>
      </c>
      <c r="D25" s="1922">
        <f>'SA9'!F86</f>
        <v>0</v>
      </c>
      <c r="E25" s="2590">
        <f>'SA9'!G86</f>
        <v>0</v>
      </c>
      <c r="F25" s="1926">
        <f>'SA9'!H86</f>
        <v>0</v>
      </c>
      <c r="G25" s="1922">
        <f>'SA9'!I86</f>
        <v>0</v>
      </c>
      <c r="H25" s="2590">
        <f>'SA9'!J86</f>
        <v>0</v>
      </c>
      <c r="I25" s="1926">
        <f>'SA9'!K86</f>
        <v>0</v>
      </c>
      <c r="J25" s="1922">
        <f>'SA9'!L86</f>
        <v>0</v>
      </c>
      <c r="K25" s="2590">
        <f>'SA9'!M86</f>
        <v>0</v>
      </c>
      <c r="L25" s="1317"/>
      <c r="M25" s="1317"/>
    </row>
    <row r="26" spans="1:13" ht="11.25" customHeight="1" x14ac:dyDescent="0.25">
      <c r="A26" s="1391" t="str">
        <f>$A$14</f>
        <v>Below Minimum Service Level sub-total</v>
      </c>
      <c r="B26" s="989"/>
      <c r="C26" s="1912">
        <f>SUM(C23:C25)</f>
        <v>0</v>
      </c>
      <c r="D26" s="1912">
        <f t="shared" ref="D26:K26" si="4">SUM(D23:D25)</f>
        <v>0</v>
      </c>
      <c r="E26" s="1913">
        <f t="shared" si="4"/>
        <v>0</v>
      </c>
      <c r="F26" s="1914">
        <f t="shared" si="4"/>
        <v>0</v>
      </c>
      <c r="G26" s="1912">
        <f t="shared" si="4"/>
        <v>0</v>
      </c>
      <c r="H26" s="1915">
        <f t="shared" si="4"/>
        <v>0</v>
      </c>
      <c r="I26" s="1916">
        <f t="shared" si="4"/>
        <v>0</v>
      </c>
      <c r="J26" s="1912">
        <f t="shared" si="4"/>
        <v>0</v>
      </c>
      <c r="K26" s="1913">
        <f t="shared" si="4"/>
        <v>0</v>
      </c>
      <c r="L26" s="1317"/>
      <c r="M26" s="1317"/>
    </row>
    <row r="27" spans="1:13" ht="11.25" customHeight="1" x14ac:dyDescent="0.25">
      <c r="A27" s="997" t="str">
        <f>$A$15</f>
        <v>Total number of households</v>
      </c>
      <c r="B27" s="989">
        <f>$B$15</f>
        <v>5</v>
      </c>
      <c r="C27" s="1917">
        <f>C22+C26</f>
        <v>0</v>
      </c>
      <c r="D27" s="1917">
        <f t="shared" ref="D27:K27" si="5">D22+D26</f>
        <v>0</v>
      </c>
      <c r="E27" s="1918">
        <f t="shared" si="5"/>
        <v>0</v>
      </c>
      <c r="F27" s="1919">
        <f t="shared" si="5"/>
        <v>0</v>
      </c>
      <c r="G27" s="1917">
        <f t="shared" si="5"/>
        <v>0</v>
      </c>
      <c r="H27" s="1920">
        <f t="shared" si="5"/>
        <v>0</v>
      </c>
      <c r="I27" s="1921">
        <f t="shared" si="5"/>
        <v>0</v>
      </c>
      <c r="J27" s="1917">
        <f t="shared" si="5"/>
        <v>0</v>
      </c>
      <c r="K27" s="1918">
        <f t="shared" si="5"/>
        <v>0</v>
      </c>
      <c r="L27" s="1317"/>
      <c r="M27" s="1317"/>
    </row>
    <row r="28" spans="1:13" s="1930" customFormat="1" ht="15.75" customHeight="1" x14ac:dyDescent="0.25">
      <c r="A28" s="995" t="s">
        <v>646</v>
      </c>
      <c r="B28" s="989"/>
      <c r="C28" s="1901"/>
      <c r="D28" s="1901"/>
      <c r="E28" s="1902"/>
      <c r="F28" s="1903"/>
      <c r="G28" s="1901"/>
      <c r="H28" s="1904"/>
      <c r="I28" s="1905"/>
      <c r="J28" s="1901"/>
      <c r="K28" s="1902"/>
      <c r="L28" s="1929"/>
      <c r="M28" s="1929"/>
    </row>
    <row r="29" spans="1:13" ht="11.25" customHeight="1" x14ac:dyDescent="0.25">
      <c r="A29" s="996" t="s">
        <v>1186</v>
      </c>
      <c r="B29" s="989"/>
      <c r="C29" s="1922">
        <f>'SA9'!E90</f>
        <v>0</v>
      </c>
      <c r="D29" s="1922">
        <f>'SA9'!F90</f>
        <v>0</v>
      </c>
      <c r="E29" s="2590">
        <f>'SA9'!G90</f>
        <v>0</v>
      </c>
      <c r="F29" s="1926">
        <f>'SA9'!H90</f>
        <v>878</v>
      </c>
      <c r="G29" s="1922">
        <f>'SA9'!I90</f>
        <v>878</v>
      </c>
      <c r="H29" s="2590">
        <f>'SA9'!J90</f>
        <v>878</v>
      </c>
      <c r="I29" s="1926">
        <f>'SA9'!K90</f>
        <v>0</v>
      </c>
      <c r="J29" s="1922">
        <f>'SA9'!L90</f>
        <v>0</v>
      </c>
      <c r="K29" s="2590">
        <f>'SA9'!M90</f>
        <v>0</v>
      </c>
      <c r="L29" s="1317"/>
      <c r="M29" s="1317"/>
    </row>
    <row r="30" spans="1:13" ht="11.25" customHeight="1" x14ac:dyDescent="0.25">
      <c r="A30" s="996" t="s">
        <v>483</v>
      </c>
      <c r="B30" s="989"/>
      <c r="C30" s="1922">
        <f>'SA9'!E91</f>
        <v>0</v>
      </c>
      <c r="D30" s="1922">
        <f>'SA9'!F91</f>
        <v>0</v>
      </c>
      <c r="E30" s="2590">
        <f>'SA9'!G91</f>
        <v>0</v>
      </c>
      <c r="F30" s="1926">
        <f>'SA9'!H91</f>
        <v>0</v>
      </c>
      <c r="G30" s="1922">
        <f>'SA9'!I91</f>
        <v>0</v>
      </c>
      <c r="H30" s="2590">
        <f>'SA9'!J91</f>
        <v>0</v>
      </c>
      <c r="I30" s="1926">
        <f>'SA9'!K91</f>
        <v>0</v>
      </c>
      <c r="J30" s="1922">
        <f>'SA9'!L91</f>
        <v>0</v>
      </c>
      <c r="K30" s="2590">
        <f>'SA9'!M91</f>
        <v>0</v>
      </c>
      <c r="L30" s="1317"/>
      <c r="M30" s="1317"/>
    </row>
    <row r="31" spans="1:13" ht="11.25" customHeight="1" x14ac:dyDescent="0.25">
      <c r="A31" s="1391" t="str">
        <f>$A$10</f>
        <v>Minimum Service Level and Above sub-total</v>
      </c>
      <c r="B31" s="989"/>
      <c r="C31" s="1907">
        <f>SUM(C29:C30)</f>
        <v>0</v>
      </c>
      <c r="D31" s="1907">
        <f t="shared" ref="D31:K31" si="6">SUM(D29:D30)</f>
        <v>0</v>
      </c>
      <c r="E31" s="1908">
        <f t="shared" si="6"/>
        <v>0</v>
      </c>
      <c r="F31" s="1909">
        <f t="shared" si="6"/>
        <v>878</v>
      </c>
      <c r="G31" s="1907">
        <f t="shared" si="6"/>
        <v>878</v>
      </c>
      <c r="H31" s="1910">
        <f t="shared" si="6"/>
        <v>878</v>
      </c>
      <c r="I31" s="1911">
        <f t="shared" si="6"/>
        <v>0</v>
      </c>
      <c r="J31" s="1907">
        <f t="shared" si="6"/>
        <v>0</v>
      </c>
      <c r="K31" s="1908">
        <f t="shared" si="6"/>
        <v>0</v>
      </c>
      <c r="L31" s="1317"/>
      <c r="M31" s="1317"/>
    </row>
    <row r="32" spans="1:13" ht="11.25" customHeight="1" x14ac:dyDescent="0.25">
      <c r="A32" s="996" t="s">
        <v>484</v>
      </c>
      <c r="B32" s="989"/>
      <c r="C32" s="1922">
        <f>'SA9'!E93</f>
        <v>0</v>
      </c>
      <c r="D32" s="1922">
        <f>'SA9'!F93</f>
        <v>0</v>
      </c>
      <c r="E32" s="2590">
        <f>'SA9'!G93</f>
        <v>0</v>
      </c>
      <c r="F32" s="1926">
        <f>'SA9'!H93</f>
        <v>0</v>
      </c>
      <c r="G32" s="1922">
        <f>'SA9'!I93</f>
        <v>0</v>
      </c>
      <c r="H32" s="2590">
        <f>'SA9'!J93</f>
        <v>0</v>
      </c>
      <c r="I32" s="1926">
        <f>'SA9'!K93</f>
        <v>0</v>
      </c>
      <c r="J32" s="1922">
        <f>'SA9'!L93</f>
        <v>0</v>
      </c>
      <c r="K32" s="2590">
        <f>'SA9'!M93</f>
        <v>0</v>
      </c>
      <c r="L32" s="1317"/>
      <c r="M32" s="1317"/>
    </row>
    <row r="33" spans="1:13" ht="11.25" customHeight="1" x14ac:dyDescent="0.25">
      <c r="A33" s="996" t="s">
        <v>485</v>
      </c>
      <c r="B33" s="989"/>
      <c r="C33" s="1922">
        <f>'SA9'!E94</f>
        <v>0</v>
      </c>
      <c r="D33" s="1922">
        <f>'SA9'!F94</f>
        <v>0</v>
      </c>
      <c r="E33" s="2590">
        <f>'SA9'!G94</f>
        <v>0</v>
      </c>
      <c r="F33" s="1926">
        <f>'SA9'!H94</f>
        <v>0</v>
      </c>
      <c r="G33" s="1922">
        <f>'SA9'!I94</f>
        <v>0</v>
      </c>
      <c r="H33" s="2590">
        <f>'SA9'!J94</f>
        <v>0</v>
      </c>
      <c r="I33" s="1926">
        <f>'SA9'!K94</f>
        <v>0</v>
      </c>
      <c r="J33" s="1922">
        <f>'SA9'!L94</f>
        <v>0</v>
      </c>
      <c r="K33" s="2590">
        <f>'SA9'!M94</f>
        <v>0</v>
      </c>
      <c r="L33" s="1317"/>
      <c r="M33" s="1317"/>
    </row>
    <row r="34" spans="1:13" ht="11.25" customHeight="1" x14ac:dyDescent="0.25">
      <c r="A34" s="996" t="s">
        <v>647</v>
      </c>
      <c r="B34" s="989"/>
      <c r="C34" s="1922">
        <f>'SA9'!E95</f>
        <v>0</v>
      </c>
      <c r="D34" s="1922">
        <f>'SA9'!F95</f>
        <v>0</v>
      </c>
      <c r="E34" s="2590">
        <f>'SA9'!G95</f>
        <v>0</v>
      </c>
      <c r="F34" s="1926">
        <f>'SA9'!H95</f>
        <v>0</v>
      </c>
      <c r="G34" s="1922">
        <f>'SA9'!I95</f>
        <v>0</v>
      </c>
      <c r="H34" s="2590">
        <f>'SA9'!J95</f>
        <v>0</v>
      </c>
      <c r="I34" s="1926">
        <f>'SA9'!K95</f>
        <v>0</v>
      </c>
      <c r="J34" s="1922">
        <f>'SA9'!L95</f>
        <v>0</v>
      </c>
      <c r="K34" s="2590">
        <f>'SA9'!M95</f>
        <v>0</v>
      </c>
      <c r="L34" s="1317"/>
      <c r="M34" s="1317"/>
    </row>
    <row r="35" spans="1:13" ht="11.25" customHeight="1" x14ac:dyDescent="0.25">
      <c r="A35" s="1391" t="str">
        <f>$A$14</f>
        <v>Below Minimum Service Level sub-total</v>
      </c>
      <c r="B35" s="989"/>
      <c r="C35" s="1912">
        <f>SUM(C32:C34)</f>
        <v>0</v>
      </c>
      <c r="D35" s="1912">
        <f t="shared" ref="D35:K35" si="7">SUM(D32:D34)</f>
        <v>0</v>
      </c>
      <c r="E35" s="1913">
        <f t="shared" si="7"/>
        <v>0</v>
      </c>
      <c r="F35" s="1914">
        <f t="shared" si="7"/>
        <v>0</v>
      </c>
      <c r="G35" s="1912">
        <f t="shared" si="7"/>
        <v>0</v>
      </c>
      <c r="H35" s="1915">
        <f t="shared" si="7"/>
        <v>0</v>
      </c>
      <c r="I35" s="1916">
        <f t="shared" si="7"/>
        <v>0</v>
      </c>
      <c r="J35" s="1912">
        <f t="shared" si="7"/>
        <v>0</v>
      </c>
      <c r="K35" s="1913">
        <f t="shared" si="7"/>
        <v>0</v>
      </c>
      <c r="L35" s="1317"/>
      <c r="M35" s="1317"/>
    </row>
    <row r="36" spans="1:13" ht="11.25" customHeight="1" x14ac:dyDescent="0.25">
      <c r="A36" s="997" t="str">
        <f>$A$15</f>
        <v>Total number of households</v>
      </c>
      <c r="B36" s="989">
        <f>$B$15</f>
        <v>5</v>
      </c>
      <c r="C36" s="1917">
        <f>C31+C35</f>
        <v>0</v>
      </c>
      <c r="D36" s="1917">
        <f t="shared" ref="D36:K36" si="8">D31+D35</f>
        <v>0</v>
      </c>
      <c r="E36" s="1918">
        <f t="shared" si="8"/>
        <v>0</v>
      </c>
      <c r="F36" s="1919">
        <f t="shared" si="8"/>
        <v>878</v>
      </c>
      <c r="G36" s="1917">
        <f t="shared" si="8"/>
        <v>878</v>
      </c>
      <c r="H36" s="1920">
        <f t="shared" si="8"/>
        <v>878</v>
      </c>
      <c r="I36" s="1921">
        <f t="shared" si="8"/>
        <v>0</v>
      </c>
      <c r="J36" s="1917">
        <f t="shared" si="8"/>
        <v>0</v>
      </c>
      <c r="K36" s="1918">
        <f t="shared" si="8"/>
        <v>0</v>
      </c>
      <c r="L36" s="1317"/>
      <c r="M36" s="1317"/>
    </row>
    <row r="37" spans="1:13" s="1930" customFormat="1" ht="15.75" customHeight="1" x14ac:dyDescent="0.25">
      <c r="A37" s="995" t="s">
        <v>650</v>
      </c>
      <c r="B37" s="989"/>
      <c r="C37" s="1901"/>
      <c r="D37" s="1901"/>
      <c r="E37" s="1902"/>
      <c r="F37" s="1903"/>
      <c r="G37" s="1901"/>
      <c r="H37" s="1904"/>
      <c r="I37" s="1905"/>
      <c r="J37" s="1901"/>
      <c r="K37" s="1902"/>
      <c r="L37" s="1929"/>
      <c r="M37" s="1929"/>
    </row>
    <row r="38" spans="1:13" ht="11.25" customHeight="1" x14ac:dyDescent="0.25">
      <c r="A38" s="996" t="s">
        <v>700</v>
      </c>
      <c r="B38" s="989"/>
      <c r="C38" s="1922">
        <f>'SA9'!E99</f>
        <v>0</v>
      </c>
      <c r="D38" s="1922">
        <f>'SA9'!F99</f>
        <v>0</v>
      </c>
      <c r="E38" s="2590">
        <f>'SA9'!G99</f>
        <v>0</v>
      </c>
      <c r="F38" s="1926">
        <f>'SA9'!H99</f>
        <v>5619</v>
      </c>
      <c r="G38" s="1922">
        <f>'SA9'!I99</f>
        <v>5619</v>
      </c>
      <c r="H38" s="2590">
        <f>'SA9'!J99</f>
        <v>5619</v>
      </c>
      <c r="I38" s="1926">
        <f>'SA9'!K99</f>
        <v>0</v>
      </c>
      <c r="J38" s="1922">
        <f>'SA9'!L99</f>
        <v>0</v>
      </c>
      <c r="K38" s="2590">
        <f>'SA9'!M99</f>
        <v>0</v>
      </c>
      <c r="L38" s="1317"/>
      <c r="M38" s="1317"/>
    </row>
    <row r="39" spans="1:13" ht="11.25" customHeight="1" x14ac:dyDescent="0.25">
      <c r="A39" s="1391" t="str">
        <f>$A$10</f>
        <v>Minimum Service Level and Above sub-total</v>
      </c>
      <c r="B39" s="989"/>
      <c r="C39" s="1922">
        <f>SUM(C38)</f>
        <v>0</v>
      </c>
      <c r="D39" s="1922">
        <f t="shared" ref="D39:K39" si="9">SUM(D38)</f>
        <v>0</v>
      </c>
      <c r="E39" s="1923">
        <f t="shared" si="9"/>
        <v>0</v>
      </c>
      <c r="F39" s="1924">
        <f t="shared" si="9"/>
        <v>5619</v>
      </c>
      <c r="G39" s="1922">
        <f t="shared" si="9"/>
        <v>5619</v>
      </c>
      <c r="H39" s="1925">
        <f t="shared" si="9"/>
        <v>5619</v>
      </c>
      <c r="I39" s="1926">
        <f t="shared" si="9"/>
        <v>0</v>
      </c>
      <c r="J39" s="1922">
        <f t="shared" si="9"/>
        <v>0</v>
      </c>
      <c r="K39" s="1923">
        <f t="shared" si="9"/>
        <v>0</v>
      </c>
      <c r="L39" s="1317"/>
      <c r="M39" s="1317"/>
    </row>
    <row r="40" spans="1:13" ht="11.25" customHeight="1" x14ac:dyDescent="0.25">
      <c r="A40" s="996" t="s">
        <v>651</v>
      </c>
      <c r="B40" s="989"/>
      <c r="C40" s="1922">
        <f>'SA9'!E101</f>
        <v>0</v>
      </c>
      <c r="D40" s="1922">
        <f>'SA9'!F101</f>
        <v>0</v>
      </c>
      <c r="E40" s="2590">
        <f>'SA9'!G101</f>
        <v>0</v>
      </c>
      <c r="F40" s="1926">
        <f>'SA9'!H101</f>
        <v>0</v>
      </c>
      <c r="G40" s="1922">
        <f>'SA9'!I101</f>
        <v>0</v>
      </c>
      <c r="H40" s="2590">
        <f>'SA9'!J101</f>
        <v>0</v>
      </c>
      <c r="I40" s="1926">
        <f>'SA9'!K101</f>
        <v>0</v>
      </c>
      <c r="J40" s="1922">
        <f>'SA9'!L101</f>
        <v>0</v>
      </c>
      <c r="K40" s="2590">
        <f>'SA9'!M101</f>
        <v>0</v>
      </c>
      <c r="L40" s="1317"/>
      <c r="M40" s="1317"/>
    </row>
    <row r="41" spans="1:13" ht="11.25" customHeight="1" x14ac:dyDescent="0.25">
      <c r="A41" s="996" t="s">
        <v>652</v>
      </c>
      <c r="B41" s="989"/>
      <c r="C41" s="1922">
        <f>'SA9'!E102</f>
        <v>0</v>
      </c>
      <c r="D41" s="1922">
        <f>'SA9'!F102</f>
        <v>0</v>
      </c>
      <c r="E41" s="2590">
        <f>'SA9'!G102</f>
        <v>0</v>
      </c>
      <c r="F41" s="1926">
        <f>'SA9'!H102</f>
        <v>0</v>
      </c>
      <c r="G41" s="1922">
        <f>'SA9'!I102</f>
        <v>0</v>
      </c>
      <c r="H41" s="2590">
        <f>'SA9'!J102</f>
        <v>0</v>
      </c>
      <c r="I41" s="1926">
        <f>'SA9'!K102</f>
        <v>0</v>
      </c>
      <c r="J41" s="1922">
        <f>'SA9'!L102</f>
        <v>0</v>
      </c>
      <c r="K41" s="2590">
        <f>'SA9'!M102</f>
        <v>0</v>
      </c>
      <c r="L41" s="1317"/>
      <c r="M41" s="1317"/>
    </row>
    <row r="42" spans="1:13" ht="11.25" customHeight="1" x14ac:dyDescent="0.25">
      <c r="A42" s="996" t="s">
        <v>837</v>
      </c>
      <c r="B42" s="989"/>
      <c r="C42" s="1922">
        <f>'SA9'!E103</f>
        <v>0</v>
      </c>
      <c r="D42" s="1922">
        <f>'SA9'!F103</f>
        <v>0</v>
      </c>
      <c r="E42" s="2590">
        <f>'SA9'!G103</f>
        <v>0</v>
      </c>
      <c r="F42" s="1926">
        <f>'SA9'!H103</f>
        <v>0</v>
      </c>
      <c r="G42" s="1922">
        <f>'SA9'!I103</f>
        <v>0</v>
      </c>
      <c r="H42" s="2590">
        <f>'SA9'!J103</f>
        <v>0</v>
      </c>
      <c r="I42" s="1926">
        <f>'SA9'!K103</f>
        <v>0</v>
      </c>
      <c r="J42" s="1922">
        <f>'SA9'!L103</f>
        <v>0</v>
      </c>
      <c r="K42" s="2590">
        <f>'SA9'!M103</f>
        <v>0</v>
      </c>
      <c r="L42" s="1317"/>
      <c r="M42" s="1317"/>
    </row>
    <row r="43" spans="1:13" ht="11.25" customHeight="1" x14ac:dyDescent="0.25">
      <c r="A43" s="996" t="s">
        <v>838</v>
      </c>
      <c r="B43" s="989"/>
      <c r="C43" s="1922">
        <f>'SA9'!E104</f>
        <v>0</v>
      </c>
      <c r="D43" s="1922">
        <f>'SA9'!F104</f>
        <v>0</v>
      </c>
      <c r="E43" s="2590">
        <f>'SA9'!G104</f>
        <v>0</v>
      </c>
      <c r="F43" s="1926">
        <f>'SA9'!H104</f>
        <v>0</v>
      </c>
      <c r="G43" s="1922">
        <f>'SA9'!I104</f>
        <v>0</v>
      </c>
      <c r="H43" s="2590">
        <f>'SA9'!J104</f>
        <v>0</v>
      </c>
      <c r="I43" s="1926">
        <f>'SA9'!K104</f>
        <v>0</v>
      </c>
      <c r="J43" s="1922">
        <f>'SA9'!L104</f>
        <v>0</v>
      </c>
      <c r="K43" s="2590">
        <f>'SA9'!M104</f>
        <v>0</v>
      </c>
      <c r="L43" s="1317"/>
      <c r="M43" s="1317"/>
    </row>
    <row r="44" spans="1:13" ht="11.25" customHeight="1" x14ac:dyDescent="0.25">
      <c r="A44" s="996" t="s">
        <v>197</v>
      </c>
      <c r="B44" s="989"/>
      <c r="C44" s="1922">
        <f>'SA9'!E105</f>
        <v>0</v>
      </c>
      <c r="D44" s="1922">
        <f>'SA9'!F105</f>
        <v>0</v>
      </c>
      <c r="E44" s="2590">
        <f>'SA9'!G105</f>
        <v>0</v>
      </c>
      <c r="F44" s="1926">
        <f>'SA9'!H105</f>
        <v>0</v>
      </c>
      <c r="G44" s="1922">
        <f>'SA9'!I105</f>
        <v>0</v>
      </c>
      <c r="H44" s="2590">
        <f>'SA9'!J105</f>
        <v>0</v>
      </c>
      <c r="I44" s="1926">
        <f>'SA9'!K105</f>
        <v>0</v>
      </c>
      <c r="J44" s="1922">
        <f>'SA9'!L105</f>
        <v>0</v>
      </c>
      <c r="K44" s="2590">
        <f>'SA9'!M105</f>
        <v>0</v>
      </c>
      <c r="L44" s="1317"/>
      <c r="M44" s="1317"/>
    </row>
    <row r="45" spans="1:13" ht="11.25" customHeight="1" x14ac:dyDescent="0.25">
      <c r="A45" s="1391" t="str">
        <f>$A$14</f>
        <v>Below Minimum Service Level sub-total</v>
      </c>
      <c r="B45" s="989"/>
      <c r="C45" s="1912">
        <f t="shared" ref="C45:K45" si="10">SUM(C40:C44)</f>
        <v>0</v>
      </c>
      <c r="D45" s="1912">
        <f t="shared" si="10"/>
        <v>0</v>
      </c>
      <c r="E45" s="1913">
        <f t="shared" si="10"/>
        <v>0</v>
      </c>
      <c r="F45" s="1914">
        <f t="shared" si="10"/>
        <v>0</v>
      </c>
      <c r="G45" s="1912">
        <f t="shared" si="10"/>
        <v>0</v>
      </c>
      <c r="H45" s="1915">
        <f t="shared" si="10"/>
        <v>0</v>
      </c>
      <c r="I45" s="1916">
        <f t="shared" si="10"/>
        <v>0</v>
      </c>
      <c r="J45" s="1912">
        <f t="shared" si="10"/>
        <v>0</v>
      </c>
      <c r="K45" s="1913">
        <f t="shared" si="10"/>
        <v>0</v>
      </c>
      <c r="L45" s="1317"/>
      <c r="M45" s="1317"/>
    </row>
    <row r="46" spans="1:13" ht="11.25" customHeight="1" x14ac:dyDescent="0.25">
      <c r="A46" s="997" t="str">
        <f>$A$15</f>
        <v>Total number of households</v>
      </c>
      <c r="B46" s="989">
        <f>$B$15</f>
        <v>5</v>
      </c>
      <c r="C46" s="1917">
        <f>C39+C45</f>
        <v>0</v>
      </c>
      <c r="D46" s="1917">
        <f t="shared" ref="D46:K46" si="11">D39+D45</f>
        <v>0</v>
      </c>
      <c r="E46" s="1918">
        <f t="shared" si="11"/>
        <v>0</v>
      </c>
      <c r="F46" s="1919">
        <f t="shared" si="11"/>
        <v>5619</v>
      </c>
      <c r="G46" s="1917">
        <f t="shared" si="11"/>
        <v>5619</v>
      </c>
      <c r="H46" s="1920">
        <f t="shared" si="11"/>
        <v>5619</v>
      </c>
      <c r="I46" s="1921">
        <f t="shared" si="11"/>
        <v>0</v>
      </c>
      <c r="J46" s="1917">
        <f t="shared" si="11"/>
        <v>0</v>
      </c>
      <c r="K46" s="1918">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79" t="s">
        <v>198</v>
      </c>
      <c r="B48" s="989">
        <v>7</v>
      </c>
      <c r="C48" s="923"/>
      <c r="D48" s="923"/>
      <c r="E48" s="1007"/>
      <c r="F48" s="971"/>
      <c r="G48" s="923"/>
      <c r="H48" s="926"/>
      <c r="I48" s="927"/>
      <c r="J48" s="923"/>
      <c r="K48" s="924"/>
      <c r="L48" s="1317"/>
      <c r="M48" s="1317"/>
    </row>
    <row r="49" spans="1:13" ht="11.25" customHeight="1" x14ac:dyDescent="0.25">
      <c r="A49" s="1032" t="s">
        <v>1261</v>
      </c>
      <c r="B49" s="989"/>
      <c r="C49" s="1922">
        <f>'SA9'!E263</f>
        <v>0</v>
      </c>
      <c r="D49" s="1922">
        <f>'SA9'!F263</f>
        <v>0</v>
      </c>
      <c r="E49" s="2590">
        <f>'SA9'!G263</f>
        <v>0</v>
      </c>
      <c r="F49" s="1926">
        <f>'SA9'!H263</f>
        <v>0</v>
      </c>
      <c r="G49" s="1922">
        <f>'SA9'!I263</f>
        <v>0</v>
      </c>
      <c r="H49" s="2590">
        <f>'SA9'!J263</f>
        <v>0</v>
      </c>
      <c r="I49" s="1926">
        <f>'SA9'!K263</f>
        <v>0</v>
      </c>
      <c r="J49" s="1922">
        <f>'SA9'!L263</f>
        <v>0</v>
      </c>
      <c r="K49" s="2590">
        <f>'SA9'!M263</f>
        <v>0</v>
      </c>
      <c r="L49" s="1317"/>
      <c r="M49" s="1317"/>
    </row>
    <row r="50" spans="1:13" ht="11.25" customHeight="1" x14ac:dyDescent="0.25">
      <c r="A50" s="1032" t="s">
        <v>359</v>
      </c>
      <c r="B50" s="989"/>
      <c r="C50" s="1922">
        <f>'SA9'!E275</f>
        <v>0</v>
      </c>
      <c r="D50" s="1922">
        <f>'SA9'!F275</f>
        <v>0</v>
      </c>
      <c r="E50" s="2590">
        <f>'SA9'!G275</f>
        <v>0</v>
      </c>
      <c r="F50" s="1926">
        <f>'SA9'!H275</f>
        <v>0</v>
      </c>
      <c r="G50" s="1922">
        <f>'SA9'!I275</f>
        <v>0</v>
      </c>
      <c r="H50" s="2590">
        <f>'SA9'!J275</f>
        <v>0</v>
      </c>
      <c r="I50" s="1926">
        <f>'SA9'!K275</f>
        <v>0</v>
      </c>
      <c r="J50" s="1922">
        <f>'SA9'!L275</f>
        <v>0</v>
      </c>
      <c r="K50" s="2590">
        <f>'SA9'!M275</f>
        <v>0</v>
      </c>
      <c r="L50" s="1317"/>
      <c r="M50" s="1317"/>
    </row>
    <row r="51" spans="1:13" ht="11.25" customHeight="1" x14ac:dyDescent="0.25">
      <c r="A51" s="1032" t="s">
        <v>1262</v>
      </c>
      <c r="B51" s="989"/>
      <c r="C51" s="1922">
        <f>'SA9'!E251</f>
        <v>0</v>
      </c>
      <c r="D51" s="1922">
        <f>'SA9'!F251</f>
        <v>0</v>
      </c>
      <c r="E51" s="2590">
        <f>'SA9'!G251</f>
        <v>0</v>
      </c>
      <c r="F51" s="1926">
        <f>'SA9'!H251</f>
        <v>0</v>
      </c>
      <c r="G51" s="1922">
        <f>'SA9'!I251</f>
        <v>0</v>
      </c>
      <c r="H51" s="2590">
        <f>'SA9'!J251</f>
        <v>0</v>
      </c>
      <c r="I51" s="1926">
        <f>'SA9'!K251</f>
        <v>0</v>
      </c>
      <c r="J51" s="1922">
        <f>'SA9'!L251</f>
        <v>0</v>
      </c>
      <c r="K51" s="2590">
        <f>'SA9'!M251</f>
        <v>0</v>
      </c>
      <c r="L51" s="1317"/>
      <c r="M51" s="1317"/>
    </row>
    <row r="52" spans="1:13" ht="11.25" customHeight="1" x14ac:dyDescent="0.25">
      <c r="A52" s="2580" t="s">
        <v>360</v>
      </c>
      <c r="B52" s="1001"/>
      <c r="C52" s="2591">
        <f>'SA9'!E287</f>
        <v>0</v>
      </c>
      <c r="D52" s="2591">
        <f>'SA9'!F287</f>
        <v>0</v>
      </c>
      <c r="E52" s="2592">
        <f>'SA9'!G287</f>
        <v>0</v>
      </c>
      <c r="F52" s="2593">
        <f>'SA9'!H287</f>
        <v>0</v>
      </c>
      <c r="G52" s="2591">
        <f>'SA9'!I287</f>
        <v>0</v>
      </c>
      <c r="H52" s="2592">
        <f>'SA9'!J287</f>
        <v>0</v>
      </c>
      <c r="I52" s="2593">
        <f>'SA9'!K287</f>
        <v>0</v>
      </c>
      <c r="J52" s="2591">
        <f>'SA9'!L287</f>
        <v>0</v>
      </c>
      <c r="K52" s="2592">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600" t="s">
        <v>2219</v>
      </c>
      <c r="B54" s="989">
        <v>8</v>
      </c>
      <c r="C54" s="1148"/>
      <c r="D54" s="1148"/>
      <c r="E54" s="1188"/>
      <c r="F54" s="1189"/>
      <c r="G54" s="1148"/>
      <c r="H54" s="1190"/>
      <c r="I54" s="1149"/>
      <c r="J54" s="1148"/>
      <c r="K54" s="1188"/>
      <c r="L54" s="1317"/>
      <c r="M54" s="1317"/>
    </row>
    <row r="55" spans="1:13" ht="11.25" customHeight="1" x14ac:dyDescent="0.25">
      <c r="A55" s="996" t="s">
        <v>2220</v>
      </c>
      <c r="B55" s="989"/>
      <c r="C55" s="923">
        <f>'SA1'!C20</f>
        <v>0</v>
      </c>
      <c r="D55" s="923">
        <f>'SA1'!D20</f>
        <v>0</v>
      </c>
      <c r="E55" s="924">
        <f>'SA1'!E20</f>
        <v>0</v>
      </c>
      <c r="F55" s="925">
        <f>'SA1'!F20</f>
        <v>0</v>
      </c>
      <c r="G55" s="923">
        <f>'SA1'!G20</f>
        <v>0</v>
      </c>
      <c r="H55" s="926">
        <f>'SA1'!H20</f>
        <v>0</v>
      </c>
      <c r="I55" s="927">
        <f>'SA1'!I20</f>
        <v>0</v>
      </c>
      <c r="J55" s="923">
        <f>'SA1'!J20</f>
        <v>0</v>
      </c>
      <c r="K55" s="924">
        <f>'SA1'!K20</f>
        <v>0</v>
      </c>
      <c r="L55" s="1317"/>
      <c r="M55" s="1317"/>
    </row>
    <row r="56" spans="1:13" ht="11.25" customHeight="1" x14ac:dyDescent="0.25">
      <c r="A56" s="996" t="s">
        <v>2221</v>
      </c>
      <c r="B56" s="989"/>
      <c r="C56" s="923">
        <f>'SA1'!C26</f>
        <v>0</v>
      </c>
      <c r="D56" s="923">
        <f>'SA1'!D26</f>
        <v>0</v>
      </c>
      <c r="E56" s="924">
        <f>'SA1'!E26</f>
        <v>0</v>
      </c>
      <c r="F56" s="925">
        <f>'SA1'!F26</f>
        <v>0</v>
      </c>
      <c r="G56" s="923">
        <f>'SA1'!G26</f>
        <v>0</v>
      </c>
      <c r="H56" s="926">
        <f>'SA1'!H26</f>
        <v>0</v>
      </c>
      <c r="I56" s="927">
        <f>'SA1'!I26</f>
        <v>0</v>
      </c>
      <c r="J56" s="923">
        <f>'SA1'!J26</f>
        <v>0</v>
      </c>
      <c r="K56" s="924">
        <f>'SA1'!K26</f>
        <v>0</v>
      </c>
      <c r="L56" s="1317"/>
      <c r="M56" s="1317"/>
    </row>
    <row r="57" spans="1:13" ht="11.25" customHeight="1" x14ac:dyDescent="0.25">
      <c r="A57" s="996" t="s">
        <v>2222</v>
      </c>
      <c r="B57" s="989"/>
      <c r="C57" s="923">
        <f>'SA1'!C14</f>
        <v>0</v>
      </c>
      <c r="D57" s="923">
        <f>'SA1'!D14</f>
        <v>0</v>
      </c>
      <c r="E57" s="924">
        <f>'SA1'!E14</f>
        <v>0</v>
      </c>
      <c r="F57" s="925">
        <f>'SA1'!F14</f>
        <v>0</v>
      </c>
      <c r="G57" s="923">
        <f>'SA1'!G14</f>
        <v>0</v>
      </c>
      <c r="H57" s="926">
        <f>'SA1'!H14</f>
        <v>0</v>
      </c>
      <c r="I57" s="927">
        <f>'SA1'!I14</f>
        <v>0</v>
      </c>
      <c r="J57" s="923">
        <f>'SA1'!J14</f>
        <v>0</v>
      </c>
      <c r="K57" s="924">
        <f>'SA1'!K14</f>
        <v>0</v>
      </c>
      <c r="L57" s="1317"/>
      <c r="M57" s="1317"/>
    </row>
    <row r="58" spans="1:13" ht="11.25" customHeight="1" x14ac:dyDescent="0.25">
      <c r="A58" s="996" t="s">
        <v>2223</v>
      </c>
      <c r="B58" s="989"/>
      <c r="C58" s="923">
        <f>'SA1'!C33</f>
        <v>0</v>
      </c>
      <c r="D58" s="923">
        <f>'SA1'!D33</f>
        <v>0</v>
      </c>
      <c r="E58" s="924">
        <f>'SA1'!E33</f>
        <v>0</v>
      </c>
      <c r="F58" s="925">
        <f>'SA1'!F33</f>
        <v>0</v>
      </c>
      <c r="G58" s="923">
        <f>'SA1'!G33</f>
        <v>0</v>
      </c>
      <c r="H58" s="926">
        <f>'SA1'!H33</f>
        <v>0</v>
      </c>
      <c r="I58" s="927">
        <f>'SA1'!I33</f>
        <v>0</v>
      </c>
      <c r="J58" s="923">
        <f>'SA1'!J33</f>
        <v>0</v>
      </c>
      <c r="K58" s="924">
        <f>'SA1'!K33</f>
        <v>0</v>
      </c>
      <c r="L58" s="1317"/>
      <c r="M58" s="1317"/>
    </row>
    <row r="59" spans="1:13" ht="11.25" customHeight="1" x14ac:dyDescent="0.25">
      <c r="A59" s="2600" t="s">
        <v>2200</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2224</v>
      </c>
      <c r="B60" s="1001"/>
      <c r="C60" s="1193">
        <f t="shared" ref="C60:K60" si="12">SUM(C55:C59)</f>
        <v>0</v>
      </c>
      <c r="D60" s="1193">
        <f t="shared" si="12"/>
        <v>0</v>
      </c>
      <c r="E60" s="2594">
        <f t="shared" si="12"/>
        <v>0</v>
      </c>
      <c r="F60" s="2595">
        <f t="shared" si="12"/>
        <v>0</v>
      </c>
      <c r="G60" s="1193">
        <f t="shared" si="12"/>
        <v>0</v>
      </c>
      <c r="H60" s="2596">
        <f t="shared" si="12"/>
        <v>0</v>
      </c>
      <c r="I60" s="1194">
        <f t="shared" si="12"/>
        <v>0</v>
      </c>
      <c r="J60" s="1193">
        <f t="shared" si="12"/>
        <v>0</v>
      </c>
      <c r="K60" s="2594">
        <f t="shared" si="12"/>
        <v>0</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79" t="s">
        <v>2218</v>
      </c>
      <c r="B62" s="989"/>
      <c r="C62" s="923"/>
      <c r="D62" s="923"/>
      <c r="E62" s="924"/>
      <c r="F62" s="925"/>
      <c r="G62" s="923"/>
      <c r="H62" s="926"/>
      <c r="I62" s="927"/>
      <c r="J62" s="923"/>
      <c r="K62" s="924"/>
      <c r="L62" s="1317"/>
      <c r="M62" s="1317"/>
    </row>
    <row r="63" spans="1:13" ht="11.25" customHeight="1" x14ac:dyDescent="0.25">
      <c r="A63" s="1032" t="s">
        <v>1811</v>
      </c>
      <c r="B63" s="989"/>
      <c r="C63" s="1458"/>
      <c r="D63" s="1458"/>
      <c r="E63" s="1459"/>
      <c r="F63" s="2134"/>
      <c r="G63" s="1458"/>
      <c r="H63" s="1460"/>
      <c r="I63" s="1461"/>
      <c r="J63" s="1458"/>
      <c r="K63" s="1459"/>
      <c r="L63" s="1317"/>
      <c r="M63" s="1317"/>
    </row>
    <row r="64" spans="1:13" ht="11.25" customHeight="1" x14ac:dyDescent="0.25">
      <c r="A64" s="1032" t="s">
        <v>1350</v>
      </c>
      <c r="B64" s="989"/>
      <c r="C64" s="1458"/>
      <c r="D64" s="2135"/>
      <c r="E64" s="2136"/>
      <c r="F64" s="2134"/>
      <c r="G64" s="2135"/>
      <c r="H64" s="2137"/>
      <c r="I64" s="2138"/>
      <c r="J64" s="1458"/>
      <c r="K64" s="1459"/>
      <c r="L64" s="1317"/>
      <c r="M64" s="1317"/>
    </row>
    <row r="65" spans="1:13" ht="11.25" customHeight="1" x14ac:dyDescent="0.25">
      <c r="A65" s="1032" t="s">
        <v>1351</v>
      </c>
      <c r="B65" s="989"/>
      <c r="C65" s="1458"/>
      <c r="D65" s="1458"/>
      <c r="E65" s="1459"/>
      <c r="F65" s="2134"/>
      <c r="G65" s="2135"/>
      <c r="H65" s="2137"/>
      <c r="I65" s="1461"/>
      <c r="J65" s="1458"/>
      <c r="K65" s="1459"/>
      <c r="L65" s="1317"/>
      <c r="M65" s="1317"/>
    </row>
    <row r="66" spans="1:13" ht="11.25" customHeight="1" x14ac:dyDescent="0.25">
      <c r="A66" s="1032" t="s">
        <v>645</v>
      </c>
      <c r="B66" s="989"/>
      <c r="C66" s="1458"/>
      <c r="D66" s="1458"/>
      <c r="E66" s="1459"/>
      <c r="F66" s="2134"/>
      <c r="G66" s="2135"/>
      <c r="H66" s="2137"/>
      <c r="I66" s="1461"/>
      <c r="J66" s="1458"/>
      <c r="K66" s="1459"/>
      <c r="L66" s="1317"/>
      <c r="M66" s="1317"/>
    </row>
    <row r="67" spans="1:13" ht="11.25" customHeight="1" x14ac:dyDescent="0.25">
      <c r="A67" s="1032" t="s">
        <v>361</v>
      </c>
      <c r="B67" s="989"/>
      <c r="C67" s="1458"/>
      <c r="D67" s="2135"/>
      <c r="E67" s="2136"/>
      <c r="F67" s="2134"/>
      <c r="G67" s="2135"/>
      <c r="H67" s="2137"/>
      <c r="I67" s="2138"/>
      <c r="J67" s="1458"/>
      <c r="K67" s="1459"/>
      <c r="L67" s="1317"/>
      <c r="M67" s="1317"/>
    </row>
    <row r="68" spans="1:13" ht="11.25" customHeight="1" x14ac:dyDescent="0.25">
      <c r="A68" s="2581" t="s">
        <v>649</v>
      </c>
      <c r="B68" s="1001"/>
      <c r="C68" s="1462"/>
      <c r="D68" s="1462"/>
      <c r="E68" s="1463"/>
      <c r="F68" s="2139"/>
      <c r="G68" s="2140"/>
      <c r="H68" s="2141"/>
      <c r="I68" s="1464"/>
      <c r="J68" s="1462"/>
      <c r="K68" s="1463"/>
      <c r="L68" s="1317"/>
      <c r="M68" s="1317"/>
    </row>
    <row r="69" spans="1:13" ht="15.75" customHeight="1" x14ac:dyDescent="0.25">
      <c r="A69" s="988" t="s">
        <v>2225</v>
      </c>
      <c r="B69" s="989">
        <v>9</v>
      </c>
      <c r="C69" s="923"/>
      <c r="D69" s="923"/>
      <c r="E69" s="924"/>
      <c r="F69" s="925"/>
      <c r="G69" s="923"/>
      <c r="H69" s="926"/>
      <c r="I69" s="927"/>
      <c r="J69" s="923"/>
      <c r="K69" s="924"/>
      <c r="L69" s="1317"/>
      <c r="M69" s="1317"/>
    </row>
    <row r="70" spans="1:13" ht="25.5" x14ac:dyDescent="0.25">
      <c r="A70" s="1936" t="s">
        <v>2230</v>
      </c>
      <c r="B70" s="989"/>
      <c r="C70" s="2088"/>
      <c r="D70" s="2088"/>
      <c r="E70" s="2106"/>
      <c r="F70" s="2107"/>
      <c r="G70" s="2088"/>
      <c r="H70" s="2108"/>
      <c r="I70" s="2090"/>
      <c r="J70" s="2088"/>
      <c r="K70" s="2106"/>
      <c r="L70" s="1317"/>
      <c r="M70" s="1317"/>
    </row>
    <row r="71" spans="1:13" ht="24" customHeight="1" x14ac:dyDescent="0.25">
      <c r="A71" s="1936" t="s">
        <v>2231</v>
      </c>
      <c r="B71" s="989"/>
      <c r="C71" s="923">
        <f>'SA1'!C8</f>
        <v>0</v>
      </c>
      <c r="D71" s="923">
        <f>'SA1'!D8</f>
        <v>0</v>
      </c>
      <c r="E71" s="924">
        <f>'SA1'!E8</f>
        <v>0</v>
      </c>
      <c r="F71" s="925">
        <f>'SA1'!F8</f>
        <v>0</v>
      </c>
      <c r="G71" s="923">
        <f>'SA1'!G8</f>
        <v>0</v>
      </c>
      <c r="H71" s="926">
        <f>'SA1'!H8</f>
        <v>0</v>
      </c>
      <c r="I71" s="927">
        <f>'SA1'!I8</f>
        <v>0</v>
      </c>
      <c r="J71" s="923">
        <f>'SA1'!J8</f>
        <v>0</v>
      </c>
      <c r="K71" s="924">
        <f>'SA1'!K8</f>
        <v>0</v>
      </c>
      <c r="L71" s="1317"/>
      <c r="M71" s="1317"/>
    </row>
    <row r="72" spans="1:13" ht="11.25" customHeight="1" x14ac:dyDescent="0.25">
      <c r="A72" s="996" t="s">
        <v>2226</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2227</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2228</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2229</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2088"/>
      <c r="D76" s="2088"/>
      <c r="E76" s="2106"/>
      <c r="F76" s="2107"/>
      <c r="G76" s="2088"/>
      <c r="H76" s="2108"/>
      <c r="I76" s="2090"/>
      <c r="J76" s="2088"/>
      <c r="K76" s="2106"/>
      <c r="L76" s="1317"/>
      <c r="M76" s="1317"/>
    </row>
    <row r="77" spans="1:13" ht="11.25" customHeight="1" x14ac:dyDescent="0.25">
      <c r="A77" s="996" t="s">
        <v>363</v>
      </c>
      <c r="B77" s="989">
        <v>6</v>
      </c>
      <c r="C77" s="2088"/>
      <c r="D77" s="2088"/>
      <c r="E77" s="2106"/>
      <c r="F77" s="2107"/>
      <c r="G77" s="2088"/>
      <c r="H77" s="2108"/>
      <c r="I77" s="2090"/>
      <c r="J77" s="2088"/>
      <c r="K77" s="2106"/>
      <c r="L77" s="1317"/>
      <c r="M77" s="1317"/>
    </row>
    <row r="78" spans="1:13" ht="11.25" customHeight="1" x14ac:dyDescent="0.25">
      <c r="A78" s="996" t="s">
        <v>276</v>
      </c>
      <c r="B78" s="989"/>
      <c r="C78" s="2088"/>
      <c r="D78" s="2088"/>
      <c r="E78" s="2106"/>
      <c r="F78" s="2107"/>
      <c r="G78" s="2088"/>
      <c r="H78" s="2108"/>
      <c r="I78" s="2090"/>
      <c r="J78" s="2088"/>
      <c r="K78" s="2106"/>
      <c r="L78" s="1317"/>
      <c r="M78" s="1317"/>
    </row>
    <row r="79" spans="1:13" x14ac:dyDescent="0.25">
      <c r="A79" s="1288" t="s">
        <v>2232</v>
      </c>
      <c r="B79" s="1010"/>
      <c r="C79" s="1011">
        <f>SUM(C70:C78)</f>
        <v>0</v>
      </c>
      <c r="D79" s="1011">
        <f t="shared" ref="D79:I79" si="13">SUM(D70:D78)</f>
        <v>0</v>
      </c>
      <c r="E79" s="1012">
        <f t="shared" si="13"/>
        <v>0</v>
      </c>
      <c r="F79" s="1013">
        <f t="shared" si="13"/>
        <v>0</v>
      </c>
      <c r="G79" s="1011">
        <f t="shared" si="13"/>
        <v>0</v>
      </c>
      <c r="H79" s="1014">
        <f t="shared" si="13"/>
        <v>0</v>
      </c>
      <c r="I79" s="1015">
        <f t="shared" si="13"/>
        <v>0</v>
      </c>
      <c r="J79" s="1011">
        <f>SUM(J70:J78)</f>
        <v>0</v>
      </c>
      <c r="K79" s="1012">
        <f>SUM(K70:K78)</f>
        <v>0</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2192</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2191</v>
      </c>
      <c r="B87" s="1018"/>
      <c r="C87" s="1018"/>
      <c r="D87" s="1018"/>
      <c r="E87" s="1018"/>
      <c r="F87" s="1018"/>
      <c r="G87" s="1018"/>
      <c r="H87" s="1018"/>
      <c r="I87" s="1018"/>
      <c r="J87" s="1018"/>
      <c r="K87" s="1018"/>
    </row>
    <row r="88" spans="1:11" ht="11.25" customHeight="1" x14ac:dyDescent="0.25">
      <c r="A88" s="1017" t="s">
        <v>776</v>
      </c>
      <c r="B88" s="1018"/>
      <c r="C88" s="1018"/>
      <c r="D88" s="1018"/>
      <c r="E88" s="1018"/>
      <c r="F88" s="1018"/>
      <c r="G88" s="1018"/>
      <c r="H88" s="1018"/>
      <c r="I88" s="1018"/>
      <c r="J88" s="1018"/>
      <c r="K88" s="1018"/>
    </row>
    <row r="89" spans="1:11" ht="11.25" customHeight="1" x14ac:dyDescent="0.25">
      <c r="A89" s="1017" t="s">
        <v>1477</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7"/>
      <c r="B92" s="1018"/>
      <c r="D92" s="1018"/>
      <c r="E92" s="1018"/>
      <c r="F92" s="1018"/>
      <c r="G92" s="1018"/>
      <c r="H92" s="1018"/>
      <c r="I92" s="1018"/>
      <c r="J92" s="1018"/>
      <c r="K92" s="1018"/>
    </row>
    <row r="93" spans="1:11" ht="11.25" customHeight="1" x14ac:dyDescent="0.25">
      <c r="A93" s="1938"/>
      <c r="B93" s="1018"/>
      <c r="C93" s="1925"/>
      <c r="D93" s="1925"/>
      <c r="E93" s="1925"/>
      <c r="F93" s="1925"/>
      <c r="G93" s="1925"/>
      <c r="H93" s="1925"/>
      <c r="I93" s="1925"/>
      <c r="J93" s="1925"/>
      <c r="K93" s="1925"/>
    </row>
    <row r="94" spans="1:11" ht="11.25" customHeight="1" x14ac:dyDescent="0.25">
      <c r="A94" s="1938"/>
      <c r="B94" s="1018"/>
      <c r="C94" s="1925"/>
      <c r="D94" s="1925"/>
      <c r="E94" s="1925"/>
      <c r="F94" s="1925"/>
      <c r="G94" s="1925"/>
      <c r="H94" s="1925"/>
      <c r="I94" s="1925"/>
      <c r="J94" s="1925"/>
      <c r="K94" s="1925"/>
    </row>
    <row r="95" spans="1:11" ht="11.25" customHeight="1" x14ac:dyDescent="0.25">
      <c r="A95" s="1938"/>
      <c r="B95" s="1018"/>
      <c r="C95" s="1925"/>
      <c r="D95" s="1925"/>
      <c r="E95" s="1925"/>
      <c r="F95" s="1925"/>
      <c r="G95" s="1925"/>
      <c r="H95" s="1925"/>
      <c r="I95" s="1925"/>
      <c r="J95" s="1925"/>
      <c r="K95" s="1925"/>
    </row>
    <row r="96" spans="1:11" ht="11.25" customHeight="1" x14ac:dyDescent="0.25">
      <c r="A96" s="1938"/>
      <c r="B96" s="1018"/>
      <c r="C96" s="1925"/>
      <c r="D96" s="1925"/>
      <c r="E96" s="1925"/>
      <c r="F96" s="1925"/>
      <c r="G96" s="1925"/>
      <c r="H96" s="1925"/>
      <c r="I96" s="1925"/>
      <c r="J96" s="1925"/>
      <c r="K96" s="1925"/>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781</v>
      </c>
    </row>
    <row r="6" spans="4:29" x14ac:dyDescent="0.2">
      <c r="AB6" s="1378"/>
      <c r="AC6" s="1299"/>
    </row>
    <row r="7" spans="4:29" x14ac:dyDescent="0.2">
      <c r="W7" s="1374" t="s">
        <v>842</v>
      </c>
      <c r="X7" s="1374" t="s">
        <v>262</v>
      </c>
      <c r="AB7" s="1378"/>
      <c r="AC7" s="1301"/>
    </row>
    <row r="8" spans="4:29" x14ac:dyDescent="0.2">
      <c r="X8" s="1374" t="s">
        <v>1709</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841</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1710</v>
      </c>
      <c r="X33" s="1373">
        <v>9</v>
      </c>
      <c r="AB33" s="1378"/>
      <c r="AC33" s="1298"/>
    </row>
    <row r="34" spans="15:29" x14ac:dyDescent="0.2">
      <c r="W34" s="1374" t="s">
        <v>1708</v>
      </c>
      <c r="X34" s="1375">
        <f>INDEX(X17:X31,X33,1)</f>
        <v>2016</v>
      </c>
      <c r="AB34" s="1378"/>
      <c r="AC34" s="1305"/>
    </row>
    <row r="35" spans="15:29" x14ac:dyDescent="0.2">
      <c r="AB35" s="1378"/>
      <c r="AC35" s="1305"/>
    </row>
    <row r="36" spans="15:29" x14ac:dyDescent="0.2">
      <c r="W36" s="1374" t="s">
        <v>1711</v>
      </c>
      <c r="X36" s="1376" t="str">
        <f>MTREF&amp;"/"&amp;RIGHT(MTREF,2)+1</f>
        <v>2016/17</v>
      </c>
      <c r="AB36" s="1378"/>
      <c r="AC36" s="1292"/>
    </row>
    <row r="37" spans="15:29" x14ac:dyDescent="0.2">
      <c r="O37" s="1545"/>
      <c r="AB37" s="1378"/>
      <c r="AC37" s="1292"/>
    </row>
    <row r="38" spans="15:29" x14ac:dyDescent="0.2">
      <c r="O38" s="1545"/>
      <c r="AB38" s="1378"/>
      <c r="AC38" s="1292"/>
    </row>
    <row r="39" spans="15:29" x14ac:dyDescent="0.2">
      <c r="O39" s="1545"/>
      <c r="AB39" s="1378"/>
      <c r="AC39" s="1292"/>
    </row>
    <row r="40" spans="15:29" x14ac:dyDescent="0.2">
      <c r="O40" s="1546"/>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6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6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6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A1:P279"/>
  <sheetViews>
    <sheetView showGridLines="0" zoomScale="112" zoomScaleNormal="112" workbookViewId="0">
      <pane xSplit="1" ySplit="4" topLeftCell="B28" activePane="bottomRight" state="frozen"/>
      <selection pane="topRight"/>
      <selection pane="bottomLeft"/>
      <selection pane="bottomRight" activeCell="F14" sqref="F14"/>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LIM471 Ephraim Mogale - Supporting Table SA1 Supportinging detail to 'Budgeted Financial Performance'</v>
      </c>
      <c r="B1" s="25"/>
      <c r="C1" s="25"/>
      <c r="D1" s="25"/>
      <c r="E1" s="25"/>
      <c r="F1" s="25"/>
      <c r="G1" s="25"/>
      <c r="H1" s="25"/>
      <c r="I1" s="25"/>
      <c r="J1" s="25"/>
      <c r="K1" s="25"/>
      <c r="L1" s="25"/>
    </row>
    <row r="2" spans="1:16" ht="28.5" customHeight="1" x14ac:dyDescent="0.25">
      <c r="A2" s="2680" t="str">
        <f>desc</f>
        <v>Description</v>
      </c>
      <c r="B2" s="2682"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6" ht="25.5" x14ac:dyDescent="0.25">
      <c r="A3" s="2681"/>
      <c r="B3" s="268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625</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42">
        <v>12251690.26</v>
      </c>
      <c r="D7" s="2142">
        <v>29830570</v>
      </c>
      <c r="E7" s="2143">
        <v>25771581</v>
      </c>
      <c r="F7" s="2144">
        <v>26430545.8002</v>
      </c>
      <c r="G7" s="2142">
        <v>26766355.149999999</v>
      </c>
      <c r="H7" s="2142">
        <v>26766355.149999999</v>
      </c>
      <c r="I7" s="2142">
        <v>26766355.149999999</v>
      </c>
      <c r="J7" s="2146">
        <v>28372336.459000003</v>
      </c>
      <c r="K7" s="2142">
        <v>30074676.646540001</v>
      </c>
      <c r="L7" s="2143">
        <v>31879157.245332401</v>
      </c>
      <c r="M7" s="247"/>
      <c r="N7" s="247"/>
      <c r="O7" s="247"/>
      <c r="P7" s="247"/>
    </row>
    <row r="8" spans="1:16" ht="38.25" x14ac:dyDescent="0.25">
      <c r="A8" s="2548" t="s">
        <v>2233</v>
      </c>
      <c r="B8" s="171"/>
      <c r="C8" s="2088"/>
      <c r="D8" s="2088"/>
      <c r="E8" s="2106"/>
      <c r="F8" s="2107"/>
      <c r="G8" s="2088"/>
      <c r="H8" s="2106"/>
      <c r="I8" s="2108"/>
      <c r="J8" s="2090"/>
      <c r="K8" s="2088"/>
      <c r="L8" s="2106"/>
      <c r="M8" s="247"/>
      <c r="N8" s="247"/>
      <c r="O8" s="247"/>
      <c r="P8" s="247"/>
    </row>
    <row r="9" spans="1:16" x14ac:dyDescent="0.25">
      <c r="A9" s="294" t="s">
        <v>419</v>
      </c>
      <c r="B9" s="171"/>
      <c r="C9" s="145">
        <f>C7-C8</f>
        <v>12251690.26</v>
      </c>
      <c r="D9" s="145">
        <f t="shared" ref="D9:L9" si="0">D7-D8</f>
        <v>29830570</v>
      </c>
      <c r="E9" s="146">
        <f t="shared" si="0"/>
        <v>25771581</v>
      </c>
      <c r="F9" s="147">
        <f t="shared" si="0"/>
        <v>26430545.8002</v>
      </c>
      <c r="G9" s="145">
        <f t="shared" si="0"/>
        <v>26766355.149999999</v>
      </c>
      <c r="H9" s="146">
        <f t="shared" si="0"/>
        <v>26766355.149999999</v>
      </c>
      <c r="I9" s="144">
        <f t="shared" si="0"/>
        <v>26766355.149999999</v>
      </c>
      <c r="J9" s="148">
        <f t="shared" si="0"/>
        <v>28372336.459000003</v>
      </c>
      <c r="K9" s="145">
        <f t="shared" si="0"/>
        <v>30074676.646540001</v>
      </c>
      <c r="L9" s="146">
        <f t="shared" si="0"/>
        <v>31879157.245332401</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42">
        <v>35666165.030000001</v>
      </c>
      <c r="D12" s="2142">
        <v>34080395</v>
      </c>
      <c r="E12" s="2143">
        <v>37384302</v>
      </c>
      <c r="F12" s="2144">
        <v>50356628.200000003</v>
      </c>
      <c r="G12" s="2144">
        <v>50356628.200000003</v>
      </c>
      <c r="H12" s="2144">
        <v>50356628.200000003</v>
      </c>
      <c r="I12" s="2144">
        <v>50356628.200000003</v>
      </c>
      <c r="J12" s="2146">
        <v>54314659.176520005</v>
      </c>
      <c r="K12" s="2142">
        <v>57573538.727111198</v>
      </c>
      <c r="L12" s="2143">
        <v>61027951.050737873</v>
      </c>
      <c r="M12" s="247"/>
      <c r="N12" s="247"/>
      <c r="O12" s="247"/>
      <c r="P12" s="247"/>
    </row>
    <row r="13" spans="1:16" ht="25.5" x14ac:dyDescent="0.25">
      <c r="A13" s="2548" t="s">
        <v>2234</v>
      </c>
      <c r="B13" s="171"/>
      <c r="C13" s="2142"/>
      <c r="D13" s="2142"/>
      <c r="E13" s="2143"/>
      <c r="F13" s="2144"/>
      <c r="G13" s="2142"/>
      <c r="H13" s="2143"/>
      <c r="I13" s="2145"/>
      <c r="J13" s="2146"/>
      <c r="K13" s="2142"/>
      <c r="L13" s="2143"/>
      <c r="M13" s="247"/>
      <c r="N13" s="247"/>
      <c r="O13" s="247"/>
      <c r="P13" s="247"/>
    </row>
    <row r="14" spans="1:16" ht="25.5" x14ac:dyDescent="0.25">
      <c r="A14" s="2582" t="s">
        <v>2202</v>
      </c>
      <c r="B14" s="171"/>
      <c r="C14" s="2583">
        <f>'SA9'!E250</f>
        <v>0</v>
      </c>
      <c r="D14" s="2583">
        <f>'SA9'!F250</f>
        <v>0</v>
      </c>
      <c r="E14" s="2584">
        <f>'SA9'!G250</f>
        <v>0</v>
      </c>
      <c r="F14" s="2585">
        <f>'SA9'!H250</f>
        <v>0</v>
      </c>
      <c r="G14" s="2583">
        <f>'SA9'!I250</f>
        <v>0</v>
      </c>
      <c r="H14" s="2584">
        <f>'SA9'!J250</f>
        <v>0</v>
      </c>
      <c r="I14" s="2586">
        <f>'SA9'!K250</f>
        <v>0</v>
      </c>
      <c r="J14" s="2587">
        <f>'SA9'!L250</f>
        <v>0</v>
      </c>
      <c r="K14" s="2583">
        <f>'SA9'!M250</f>
        <v>0</v>
      </c>
      <c r="L14" s="2584">
        <f>'SA9'!N250</f>
        <v>0</v>
      </c>
      <c r="M14" s="247"/>
      <c r="N14" s="247"/>
      <c r="O14" s="247"/>
      <c r="P14" s="247"/>
    </row>
    <row r="15" spans="1:16" ht="12.75" customHeight="1" x14ac:dyDescent="0.25">
      <c r="A15" s="294" t="str">
        <f>"Net "&amp; A11</f>
        <v>Net Service charges - electricity revenue</v>
      </c>
      <c r="B15" s="171"/>
      <c r="C15" s="2543">
        <f>C12-C13-C14</f>
        <v>35666165.030000001</v>
      </c>
      <c r="D15" s="2543">
        <f t="shared" ref="D15:L15" si="1">D12-D13-D14</f>
        <v>34080395</v>
      </c>
      <c r="E15" s="2544">
        <f t="shared" si="1"/>
        <v>37384302</v>
      </c>
      <c r="F15" s="2545">
        <f t="shared" si="1"/>
        <v>50356628.200000003</v>
      </c>
      <c r="G15" s="2543">
        <f t="shared" si="1"/>
        <v>50356628.200000003</v>
      </c>
      <c r="H15" s="2544">
        <f t="shared" si="1"/>
        <v>50356628.200000003</v>
      </c>
      <c r="I15" s="2546">
        <f t="shared" si="1"/>
        <v>50356628.200000003</v>
      </c>
      <c r="J15" s="2547">
        <f t="shared" si="1"/>
        <v>54314659.176520005</v>
      </c>
      <c r="K15" s="2543">
        <f t="shared" si="1"/>
        <v>57573538.727111198</v>
      </c>
      <c r="L15" s="2544">
        <f t="shared" si="1"/>
        <v>61027951.050737873</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47"/>
      <c r="D18" s="2147"/>
      <c r="E18" s="2148"/>
      <c r="F18" s="2149"/>
      <c r="G18" s="2147"/>
      <c r="H18" s="2148"/>
      <c r="I18" s="2150"/>
      <c r="J18" s="2151"/>
      <c r="K18" s="2147"/>
      <c r="L18" s="2148"/>
      <c r="M18" s="247"/>
      <c r="N18" s="247"/>
      <c r="O18" s="247"/>
      <c r="P18" s="247"/>
    </row>
    <row r="19" spans="1:16" ht="25.5" x14ac:dyDescent="0.25">
      <c r="A19" s="2548" t="s">
        <v>2235</v>
      </c>
      <c r="B19" s="171"/>
      <c r="C19" s="2147"/>
      <c r="D19" s="2147"/>
      <c r="E19" s="2148"/>
      <c r="F19" s="2149"/>
      <c r="G19" s="2147"/>
      <c r="H19" s="2148"/>
      <c r="I19" s="2150"/>
      <c r="J19" s="2151"/>
      <c r="K19" s="2147"/>
      <c r="L19" s="2148"/>
      <c r="M19" s="247"/>
      <c r="N19" s="247"/>
      <c r="O19" s="247"/>
      <c r="P19" s="247"/>
    </row>
    <row r="20" spans="1:16" ht="25.5" x14ac:dyDescent="0.25">
      <c r="A20" s="2582" t="s">
        <v>2201</v>
      </c>
      <c r="B20" s="171"/>
      <c r="C20" s="2583">
        <f>'SA9'!E262</f>
        <v>0</v>
      </c>
      <c r="D20" s="2583">
        <f>'SA9'!F262</f>
        <v>0</v>
      </c>
      <c r="E20" s="2584">
        <f>'SA9'!G262</f>
        <v>0</v>
      </c>
      <c r="F20" s="2585">
        <f>'SA9'!H262</f>
        <v>0</v>
      </c>
      <c r="G20" s="2583">
        <f>'SA9'!I262</f>
        <v>0</v>
      </c>
      <c r="H20" s="2584">
        <f>'SA9'!J262</f>
        <v>0</v>
      </c>
      <c r="I20" s="2586">
        <f>'SA9'!K262</f>
        <v>0</v>
      </c>
      <c r="J20" s="2587">
        <f>'SA9'!L262</f>
        <v>0</v>
      </c>
      <c r="K20" s="2583">
        <f>'SA9'!M262</f>
        <v>0</v>
      </c>
      <c r="L20" s="2584">
        <f>'SA9'!N262</f>
        <v>0</v>
      </c>
      <c r="M20" s="247"/>
      <c r="N20" s="247"/>
      <c r="O20" s="247"/>
      <c r="P20" s="247"/>
    </row>
    <row r="21" spans="1:16" x14ac:dyDescent="0.25">
      <c r="A21" s="294" t="str">
        <f>"Net "&amp; A17</f>
        <v>Net Service charges - water revenue</v>
      </c>
      <c r="B21" s="171"/>
      <c r="C21" s="2543">
        <f>C18-C19-C20</f>
        <v>0</v>
      </c>
      <c r="D21" s="2543">
        <f t="shared" ref="D21:L21" si="2">D18-D19-D20</f>
        <v>0</v>
      </c>
      <c r="E21" s="2544">
        <f t="shared" si="2"/>
        <v>0</v>
      </c>
      <c r="F21" s="2545">
        <f t="shared" si="2"/>
        <v>0</v>
      </c>
      <c r="G21" s="2543">
        <f t="shared" si="2"/>
        <v>0</v>
      </c>
      <c r="H21" s="2544">
        <f t="shared" si="2"/>
        <v>0</v>
      </c>
      <c r="I21" s="2546">
        <f t="shared" si="2"/>
        <v>0</v>
      </c>
      <c r="J21" s="2547">
        <f t="shared" si="2"/>
        <v>0</v>
      </c>
      <c r="K21" s="2543">
        <f t="shared" si="2"/>
        <v>0</v>
      </c>
      <c r="L21" s="2544">
        <f t="shared" si="2"/>
        <v>0</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47"/>
      <c r="D24" s="2147"/>
      <c r="E24" s="2148"/>
      <c r="F24" s="2149"/>
      <c r="G24" s="2147"/>
      <c r="H24" s="2148"/>
      <c r="I24" s="2150"/>
      <c r="J24" s="2146"/>
      <c r="K24" s="2142"/>
      <c r="L24" s="2143"/>
      <c r="M24" s="247"/>
      <c r="N24" s="247"/>
      <c r="O24" s="247"/>
      <c r="P24" s="247"/>
    </row>
    <row r="25" spans="1:16" ht="25.5" x14ac:dyDescent="0.25">
      <c r="A25" s="2548" t="s">
        <v>2236</v>
      </c>
      <c r="B25" s="171"/>
      <c r="C25" s="2147"/>
      <c r="D25" s="2147"/>
      <c r="E25" s="2148"/>
      <c r="F25" s="2149"/>
      <c r="G25" s="2147"/>
      <c r="H25" s="2148"/>
      <c r="I25" s="2150"/>
      <c r="J25" s="2146"/>
      <c r="K25" s="2142"/>
      <c r="L25" s="2143"/>
      <c r="M25" s="247"/>
      <c r="N25" s="247"/>
      <c r="O25" s="247"/>
      <c r="P25" s="247"/>
    </row>
    <row r="26" spans="1:16" ht="25.5" x14ac:dyDescent="0.25">
      <c r="A26" s="2582" t="s">
        <v>2203</v>
      </c>
      <c r="B26" s="171"/>
      <c r="C26" s="1183">
        <f>'SA9'!E274</f>
        <v>0</v>
      </c>
      <c r="D26" s="1183">
        <f>'SA9'!F274</f>
        <v>0</v>
      </c>
      <c r="E26" s="2588">
        <f>'SA9'!G274</f>
        <v>0</v>
      </c>
      <c r="F26" s="2589">
        <f>'SA9'!H274</f>
        <v>0</v>
      </c>
      <c r="G26" s="1183">
        <f>'SA9'!I274</f>
        <v>0</v>
      </c>
      <c r="H26" s="2588">
        <f>'SA9'!J274</f>
        <v>0</v>
      </c>
      <c r="I26" s="1186">
        <f>'SA9'!K274</f>
        <v>0</v>
      </c>
      <c r="J26" s="1182">
        <f>'SA9'!L274</f>
        <v>0</v>
      </c>
      <c r="K26" s="1183">
        <f>'SA9'!M274</f>
        <v>0</v>
      </c>
      <c r="L26" s="2588">
        <f>'SA9'!N274</f>
        <v>0</v>
      </c>
      <c r="M26" s="247"/>
      <c r="N26" s="247"/>
      <c r="O26" s="247"/>
      <c r="P26" s="247"/>
    </row>
    <row r="27" spans="1:16" x14ac:dyDescent="0.25">
      <c r="A27" s="294" t="str">
        <f>"Net "&amp; A23</f>
        <v>Net Service charges - sanitation revenue</v>
      </c>
      <c r="B27" s="171"/>
      <c r="C27" s="145">
        <f>C24-C25-C26</f>
        <v>0</v>
      </c>
      <c r="D27" s="145">
        <f t="shared" ref="D27:L27" si="3">D24-D25-D26</f>
        <v>0</v>
      </c>
      <c r="E27" s="146">
        <f t="shared" si="3"/>
        <v>0</v>
      </c>
      <c r="F27" s="147">
        <f t="shared" si="3"/>
        <v>0</v>
      </c>
      <c r="G27" s="145">
        <f t="shared" si="3"/>
        <v>0</v>
      </c>
      <c r="H27" s="146">
        <f t="shared" si="3"/>
        <v>0</v>
      </c>
      <c r="I27" s="144">
        <f t="shared" si="3"/>
        <v>0</v>
      </c>
      <c r="J27" s="148">
        <f t="shared" si="3"/>
        <v>0</v>
      </c>
      <c r="K27" s="145">
        <f t="shared" si="3"/>
        <v>0</v>
      </c>
      <c r="L27" s="146">
        <f t="shared" si="3"/>
        <v>0</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1495</v>
      </c>
      <c r="B30" s="171"/>
      <c r="C30" s="2088">
        <v>2940519.6799999997</v>
      </c>
      <c r="D30" s="2088">
        <v>2913846</v>
      </c>
      <c r="E30" s="2106">
        <v>3380627</v>
      </c>
      <c r="F30" s="2107">
        <v>3867328.92</v>
      </c>
      <c r="G30" s="2088">
        <v>3867328.92</v>
      </c>
      <c r="H30" s="2088">
        <v>3867328.92</v>
      </c>
      <c r="I30" s="2088">
        <v>3867328.92</v>
      </c>
      <c r="J30" s="2090">
        <v>4407522.4954000013</v>
      </c>
      <c r="K30" s="2088">
        <v>4671973.8451239998</v>
      </c>
      <c r="L30" s="2106">
        <v>4952292.2758314405</v>
      </c>
      <c r="M30" s="247"/>
      <c r="N30" s="247"/>
      <c r="O30" s="247"/>
      <c r="P30" s="247"/>
    </row>
    <row r="31" spans="1:16" ht="11.25" customHeight="1" x14ac:dyDescent="0.25">
      <c r="A31" s="1138" t="s">
        <v>1496</v>
      </c>
      <c r="B31" s="171"/>
      <c r="C31" s="2088"/>
      <c r="D31" s="2088"/>
      <c r="E31" s="2106"/>
      <c r="F31" s="2107"/>
      <c r="G31" s="2088"/>
      <c r="H31" s="2106"/>
      <c r="I31" s="2108"/>
      <c r="J31" s="2090"/>
      <c r="K31" s="2088"/>
      <c r="L31" s="2106"/>
      <c r="M31" s="247"/>
      <c r="N31" s="247"/>
      <c r="O31" s="247"/>
      <c r="P31" s="247"/>
    </row>
    <row r="32" spans="1:16" ht="25.5" x14ac:dyDescent="0.25">
      <c r="A32" s="2548" t="s">
        <v>2237</v>
      </c>
      <c r="B32" s="171"/>
      <c r="C32" s="2088"/>
      <c r="D32" s="2088"/>
      <c r="E32" s="2106"/>
      <c r="F32" s="2107"/>
      <c r="G32" s="2088"/>
      <c r="H32" s="2106"/>
      <c r="I32" s="2108"/>
      <c r="J32" s="2090"/>
      <c r="K32" s="2088"/>
      <c r="L32" s="2106"/>
      <c r="M32" s="247"/>
      <c r="N32" s="247"/>
      <c r="O32" s="247"/>
      <c r="P32" s="247"/>
    </row>
    <row r="33" spans="1:16" ht="25.5" x14ac:dyDescent="0.25">
      <c r="A33" s="2582" t="s">
        <v>2204</v>
      </c>
      <c r="B33" s="171"/>
      <c r="C33" s="1148">
        <f>'SA9'!E286</f>
        <v>0</v>
      </c>
      <c r="D33" s="1148">
        <f>'SA9'!F286</f>
        <v>0</v>
      </c>
      <c r="E33" s="1188">
        <f>'SA9'!G286</f>
        <v>0</v>
      </c>
      <c r="F33" s="1189">
        <f>'SA9'!H286</f>
        <v>0</v>
      </c>
      <c r="G33" s="1148">
        <f>'SA9'!I286</f>
        <v>0</v>
      </c>
      <c r="H33" s="1188">
        <f>'SA9'!J286</f>
        <v>0</v>
      </c>
      <c r="I33" s="1190">
        <f>'SA9'!K286</f>
        <v>0</v>
      </c>
      <c r="J33" s="1149">
        <f>'SA9'!L286</f>
        <v>0</v>
      </c>
      <c r="K33" s="1148">
        <f>'SA9'!M286</f>
        <v>0</v>
      </c>
      <c r="L33" s="1188">
        <f>'SA9'!N286</f>
        <v>0</v>
      </c>
      <c r="M33" s="247"/>
      <c r="N33" s="247"/>
      <c r="O33" s="247"/>
      <c r="P33" s="247"/>
    </row>
    <row r="34" spans="1:16" x14ac:dyDescent="0.25">
      <c r="A34" s="294" t="str">
        <f>"Net "&amp; A29</f>
        <v>Net Service charges - refuse revenue</v>
      </c>
      <c r="B34" s="171"/>
      <c r="C34" s="145">
        <f>SUM(C30:C31)-C32-C33</f>
        <v>2940519.6799999997</v>
      </c>
      <c r="D34" s="145">
        <f t="shared" ref="D34:L34" si="4">SUM(D30:D31)-D32-D33</f>
        <v>2913846</v>
      </c>
      <c r="E34" s="146">
        <f t="shared" si="4"/>
        <v>3380627</v>
      </c>
      <c r="F34" s="147">
        <f t="shared" si="4"/>
        <v>3867328.92</v>
      </c>
      <c r="G34" s="145">
        <f t="shared" si="4"/>
        <v>3867328.92</v>
      </c>
      <c r="H34" s="146">
        <f t="shared" si="4"/>
        <v>3867328.92</v>
      </c>
      <c r="I34" s="144">
        <f t="shared" si="4"/>
        <v>3867328.92</v>
      </c>
      <c r="J34" s="148">
        <f t="shared" si="4"/>
        <v>4407522.4954000013</v>
      </c>
      <c r="K34" s="145">
        <f t="shared" si="4"/>
        <v>4671973.8451239998</v>
      </c>
      <c r="L34" s="146">
        <f t="shared" si="4"/>
        <v>4952292.2758314405</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52" t="s">
        <v>2194</v>
      </c>
      <c r="B37" s="171"/>
      <c r="C37" s="2088"/>
      <c r="D37" s="2088"/>
      <c r="E37" s="2106"/>
      <c r="F37" s="2107"/>
      <c r="G37" s="2088"/>
      <c r="H37" s="2106"/>
      <c r="I37" s="2108"/>
      <c r="J37" s="2090"/>
      <c r="K37" s="2088"/>
      <c r="L37" s="2106"/>
      <c r="M37" s="247"/>
      <c r="N37" s="247"/>
      <c r="O37" s="247"/>
      <c r="P37" s="247"/>
    </row>
    <row r="38" spans="1:16" ht="11.25" customHeight="1" x14ac:dyDescent="0.25">
      <c r="A38" s="2152" t="s">
        <v>2195</v>
      </c>
      <c r="B38" s="171"/>
      <c r="C38" s="2088">
        <v>2742132</v>
      </c>
      <c r="D38" s="2088">
        <v>3297654</v>
      </c>
      <c r="E38" s="2106">
        <v>15025249</v>
      </c>
      <c r="F38" s="2107">
        <v>5242711.16</v>
      </c>
      <c r="G38" s="2088">
        <v>5309358.72</v>
      </c>
      <c r="H38" s="2088">
        <v>5309358.72</v>
      </c>
      <c r="I38" s="2088">
        <v>5309358.72</v>
      </c>
      <c r="J38" s="2090">
        <v>5352056.67</v>
      </c>
      <c r="K38" s="2088">
        <v>5673180.1600000001</v>
      </c>
      <c r="L38" s="2106">
        <v>6013571.4100000001</v>
      </c>
      <c r="M38" s="247"/>
      <c r="N38" s="247"/>
      <c r="O38" s="247"/>
      <c r="P38" s="247"/>
    </row>
    <row r="39" spans="1:16" ht="11.25" customHeight="1" x14ac:dyDescent="0.25">
      <c r="A39" s="2152"/>
      <c r="B39" s="171"/>
      <c r="C39" s="2088"/>
      <c r="D39" s="2088"/>
      <c r="E39" s="2106"/>
      <c r="F39" s="2107"/>
      <c r="G39" s="2088"/>
      <c r="H39" s="2106"/>
      <c r="I39" s="2108"/>
      <c r="J39" s="2090"/>
      <c r="K39" s="2088"/>
      <c r="L39" s="2106"/>
      <c r="M39" s="247"/>
      <c r="N39" s="247"/>
      <c r="O39" s="247"/>
      <c r="P39" s="247"/>
    </row>
    <row r="40" spans="1:16" ht="11.25" customHeight="1" x14ac:dyDescent="0.25">
      <c r="A40" s="2153"/>
      <c r="B40" s="171"/>
      <c r="C40" s="2088"/>
      <c r="D40" s="2088"/>
      <c r="E40" s="2106"/>
      <c r="F40" s="2107"/>
      <c r="G40" s="2088"/>
      <c r="H40" s="2106"/>
      <c r="I40" s="2108"/>
      <c r="J40" s="2090"/>
      <c r="K40" s="2088"/>
      <c r="L40" s="2106"/>
      <c r="M40" s="247"/>
      <c r="N40" s="247"/>
      <c r="O40" s="247"/>
      <c r="P40" s="247"/>
    </row>
    <row r="41" spans="1:16" ht="11.25" customHeight="1" x14ac:dyDescent="0.25">
      <c r="A41" s="2153"/>
      <c r="B41" s="171"/>
      <c r="C41" s="2088"/>
      <c r="D41" s="2088"/>
      <c r="E41" s="2106"/>
      <c r="F41" s="2107"/>
      <c r="G41" s="2088"/>
      <c r="H41" s="2106"/>
      <c r="I41" s="2108"/>
      <c r="J41" s="2090"/>
      <c r="K41" s="2088"/>
      <c r="L41" s="2106"/>
      <c r="M41" s="247"/>
      <c r="N41" s="247"/>
      <c r="O41" s="247"/>
      <c r="P41" s="247"/>
    </row>
    <row r="42" spans="1:16" ht="11.25" customHeight="1" x14ac:dyDescent="0.25">
      <c r="A42" s="2153"/>
      <c r="B42" s="171"/>
      <c r="C42" s="2088"/>
      <c r="D42" s="2088"/>
      <c r="E42" s="2106"/>
      <c r="F42" s="2107"/>
      <c r="G42" s="2088"/>
      <c r="H42" s="2106"/>
      <c r="I42" s="2108"/>
      <c r="J42" s="2090"/>
      <c r="K42" s="2088"/>
      <c r="L42" s="2106"/>
      <c r="M42" s="247"/>
      <c r="N42" s="247"/>
      <c r="O42" s="247"/>
      <c r="P42" s="247"/>
    </row>
    <row r="43" spans="1:16" ht="11.25" customHeight="1" x14ac:dyDescent="0.25">
      <c r="A43" s="2153"/>
      <c r="B43" s="171"/>
      <c r="C43" s="2088"/>
      <c r="D43" s="2088"/>
      <c r="E43" s="2106"/>
      <c r="F43" s="2107"/>
      <c r="G43" s="2088"/>
      <c r="H43" s="2106"/>
      <c r="I43" s="2108"/>
      <c r="J43" s="2090"/>
      <c r="K43" s="2088"/>
      <c r="L43" s="2106"/>
      <c r="M43" s="247"/>
      <c r="N43" s="247"/>
      <c r="O43" s="247"/>
      <c r="P43" s="247"/>
    </row>
    <row r="44" spans="1:16" ht="11.25" customHeight="1" x14ac:dyDescent="0.25">
      <c r="A44" s="2153"/>
      <c r="B44" s="171"/>
      <c r="C44" s="2088"/>
      <c r="D44" s="2088"/>
      <c r="E44" s="2106"/>
      <c r="F44" s="2107"/>
      <c r="G44" s="2088"/>
      <c r="H44" s="2106"/>
      <c r="I44" s="2108"/>
      <c r="J44" s="2090"/>
      <c r="K44" s="2088"/>
      <c r="L44" s="2106"/>
      <c r="M44" s="247"/>
      <c r="N44" s="247"/>
      <c r="O44" s="247"/>
      <c r="P44" s="247"/>
    </row>
    <row r="45" spans="1:16" ht="11.25" customHeight="1" x14ac:dyDescent="0.25">
      <c r="A45" s="2153"/>
      <c r="B45" s="171"/>
      <c r="C45" s="2088"/>
      <c r="D45" s="2088"/>
      <c r="E45" s="2106"/>
      <c r="F45" s="2107"/>
      <c r="G45" s="2088"/>
      <c r="H45" s="2106"/>
      <c r="I45" s="2108"/>
      <c r="J45" s="2090"/>
      <c r="K45" s="2088"/>
      <c r="L45" s="2106"/>
      <c r="M45" s="247"/>
      <c r="N45" s="247"/>
      <c r="O45" s="247"/>
      <c r="P45" s="247"/>
    </row>
    <row r="46" spans="1:16" ht="11.25" customHeight="1" x14ac:dyDescent="0.25">
      <c r="A46" s="2153"/>
      <c r="B46" s="171"/>
      <c r="C46" s="2088"/>
      <c r="D46" s="2088"/>
      <c r="E46" s="2106"/>
      <c r="F46" s="2107"/>
      <c r="G46" s="2088"/>
      <c r="H46" s="2106"/>
      <c r="I46" s="2108"/>
      <c r="J46" s="2090"/>
      <c r="K46" s="2088"/>
      <c r="L46" s="2106"/>
      <c r="M46" s="247"/>
      <c r="N46" s="247"/>
      <c r="O46" s="247"/>
      <c r="P46" s="247"/>
    </row>
    <row r="47" spans="1:16" ht="11.25" customHeight="1" x14ac:dyDescent="0.25">
      <c r="A47" s="2153"/>
      <c r="B47" s="171"/>
      <c r="C47" s="2088"/>
      <c r="D47" s="2088"/>
      <c r="E47" s="2106"/>
      <c r="F47" s="2107"/>
      <c r="G47" s="2088"/>
      <c r="H47" s="2106"/>
      <c r="I47" s="2108"/>
      <c r="J47" s="2090"/>
      <c r="K47" s="2088"/>
      <c r="L47" s="2106"/>
      <c r="M47" s="247"/>
      <c r="N47" s="247"/>
      <c r="O47" s="247"/>
      <c r="P47" s="247"/>
    </row>
    <row r="48" spans="1:16" ht="11.25" customHeight="1" x14ac:dyDescent="0.25">
      <c r="A48" s="2153"/>
      <c r="B48" s="171">
        <v>3</v>
      </c>
      <c r="C48" s="2088"/>
      <c r="D48" s="2088"/>
      <c r="E48" s="2106"/>
      <c r="F48" s="2107"/>
      <c r="G48" s="2088"/>
      <c r="H48" s="2106"/>
      <c r="I48" s="2108"/>
      <c r="J48" s="2090"/>
      <c r="K48" s="2088"/>
      <c r="L48" s="2106"/>
      <c r="M48" s="247"/>
      <c r="N48" s="247"/>
      <c r="O48" s="247"/>
      <c r="P48" s="247"/>
    </row>
    <row r="49" spans="1:16" ht="11.25" customHeight="1" x14ac:dyDescent="0.25">
      <c r="A49" s="294" t="s">
        <v>1158</v>
      </c>
      <c r="B49" s="171">
        <v>1</v>
      </c>
      <c r="C49" s="91">
        <f>SUM(C37:C48)</f>
        <v>2742132</v>
      </c>
      <c r="D49" s="91">
        <f t="shared" ref="D49:L49" si="5">SUM(D37:D48)</f>
        <v>3297654</v>
      </c>
      <c r="E49" s="92">
        <f t="shared" si="5"/>
        <v>15025249</v>
      </c>
      <c r="F49" s="93">
        <f t="shared" si="5"/>
        <v>5242711.16</v>
      </c>
      <c r="G49" s="91">
        <f t="shared" si="5"/>
        <v>5309358.72</v>
      </c>
      <c r="H49" s="92">
        <f t="shared" si="5"/>
        <v>5309358.72</v>
      </c>
      <c r="I49" s="90">
        <f t="shared" si="5"/>
        <v>5309358.72</v>
      </c>
      <c r="J49" s="94">
        <f t="shared" si="5"/>
        <v>5352056.67</v>
      </c>
      <c r="K49" s="91">
        <f t="shared" si="5"/>
        <v>5673180.1600000001</v>
      </c>
      <c r="L49" s="92">
        <f t="shared" si="5"/>
        <v>6013571.4100000001</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1251</v>
      </c>
      <c r="B53" s="172">
        <v>2</v>
      </c>
      <c r="C53" s="2088">
        <v>28240292</v>
      </c>
      <c r="D53" s="2088">
        <v>29658260</v>
      </c>
      <c r="E53" s="2106">
        <v>31836760</v>
      </c>
      <c r="F53" s="2107">
        <v>43690452.659999996</v>
      </c>
      <c r="G53" s="2088">
        <v>41265993.329999998</v>
      </c>
      <c r="H53" s="2088">
        <v>41265993.329999998</v>
      </c>
      <c r="I53" s="2088">
        <v>41265993.329999998</v>
      </c>
      <c r="J53" s="2090">
        <v>47033925.140000001</v>
      </c>
      <c r="K53" s="2088">
        <v>49855960.649999999</v>
      </c>
      <c r="L53" s="2106">
        <v>52847318.280000001</v>
      </c>
      <c r="M53" s="247"/>
      <c r="N53" s="247"/>
      <c r="O53" s="247"/>
      <c r="P53" s="247"/>
    </row>
    <row r="54" spans="1:16" ht="11.25" customHeight="1" x14ac:dyDescent="0.25">
      <c r="A54" s="68" t="s">
        <v>1952</v>
      </c>
      <c r="B54" s="171"/>
      <c r="C54" s="2088">
        <v>5278914.5999999987</v>
      </c>
      <c r="D54" s="2088">
        <v>6264322</v>
      </c>
      <c r="E54" s="2106">
        <v>6658162</v>
      </c>
      <c r="F54" s="2107">
        <v>9419625.1099999994</v>
      </c>
      <c r="G54" s="2088">
        <v>8804023.6799999997</v>
      </c>
      <c r="H54" s="2088">
        <v>8804023.6799999997</v>
      </c>
      <c r="I54" s="2088">
        <v>8804023.6799999997</v>
      </c>
      <c r="J54" s="2090">
        <v>10289923.57</v>
      </c>
      <c r="K54" s="2088">
        <v>10907318.99</v>
      </c>
      <c r="L54" s="2106">
        <v>11561758.130000001</v>
      </c>
      <c r="M54" s="247"/>
      <c r="N54" s="247"/>
      <c r="O54" s="247"/>
      <c r="P54" s="247"/>
    </row>
    <row r="55" spans="1:16" ht="11.25" customHeight="1" x14ac:dyDescent="0.25">
      <c r="A55" s="68" t="s">
        <v>718</v>
      </c>
      <c r="B55" s="171"/>
      <c r="C55" s="2088">
        <v>1436052.3</v>
      </c>
      <c r="D55" s="2088">
        <v>1854502</v>
      </c>
      <c r="E55" s="2106">
        <v>1994205</v>
      </c>
      <c r="F55" s="2107">
        <v>2340797.98</v>
      </c>
      <c r="G55" s="2088">
        <v>2458918.61</v>
      </c>
      <c r="H55" s="2088">
        <v>2458918.61</v>
      </c>
      <c r="I55" s="2088">
        <v>2458918.61</v>
      </c>
      <c r="J55" s="2090">
        <v>2693956.07</v>
      </c>
      <c r="K55" s="2088">
        <v>2855593.43</v>
      </c>
      <c r="L55" s="2106">
        <v>3026929.04</v>
      </c>
      <c r="M55" s="247"/>
      <c r="N55" s="247"/>
      <c r="O55" s="247"/>
      <c r="P55" s="247"/>
    </row>
    <row r="56" spans="1:16" ht="11.25" customHeight="1" x14ac:dyDescent="0.25">
      <c r="A56" s="68" t="s">
        <v>1042</v>
      </c>
      <c r="B56" s="171"/>
      <c r="C56" s="2088">
        <v>1703683.48</v>
      </c>
      <c r="D56" s="2088">
        <v>1057222</v>
      </c>
      <c r="E56" s="2106">
        <v>1389132</v>
      </c>
      <c r="F56" s="2107">
        <v>1630840.54</v>
      </c>
      <c r="G56" s="2088">
        <v>1570825.94</v>
      </c>
      <c r="H56" s="2088">
        <v>1570825.94</v>
      </c>
      <c r="I56" s="2088">
        <v>1570825.94</v>
      </c>
      <c r="J56" s="2090">
        <v>1688112.38</v>
      </c>
      <c r="K56" s="2088">
        <v>1789399.12</v>
      </c>
      <c r="L56" s="2106">
        <v>1896763.07</v>
      </c>
      <c r="M56" s="247"/>
      <c r="N56" s="247"/>
      <c r="O56" s="247"/>
      <c r="P56" s="247"/>
    </row>
    <row r="57" spans="1:16" ht="11.25" customHeight="1" x14ac:dyDescent="0.25">
      <c r="A57" s="68" t="s">
        <v>720</v>
      </c>
      <c r="B57" s="171"/>
      <c r="C57" s="2088">
        <v>2216557</v>
      </c>
      <c r="D57" s="2088">
        <v>3913258</v>
      </c>
      <c r="E57" s="2106">
        <v>3677901</v>
      </c>
      <c r="F57" s="2107">
        <v>3512199.1</v>
      </c>
      <c r="G57" s="2088">
        <v>3334365.34</v>
      </c>
      <c r="H57" s="2088">
        <v>3334365.34</v>
      </c>
      <c r="I57" s="2088">
        <v>3334365.34</v>
      </c>
      <c r="J57" s="2090">
        <v>3674266.19</v>
      </c>
      <c r="K57" s="2088">
        <v>3894722.16</v>
      </c>
      <c r="L57" s="2106">
        <v>4128405.49</v>
      </c>
      <c r="M57" s="247"/>
      <c r="N57" s="247"/>
      <c r="O57" s="247"/>
      <c r="P57" s="247"/>
    </row>
    <row r="58" spans="1:16" ht="11.25" customHeight="1" x14ac:dyDescent="0.25">
      <c r="A58" s="68" t="s">
        <v>2106</v>
      </c>
      <c r="B58" s="171"/>
      <c r="C58" s="2088">
        <v>1209226</v>
      </c>
      <c r="D58" s="2088">
        <v>2341090</v>
      </c>
      <c r="E58" s="2106">
        <v>2689583</v>
      </c>
      <c r="F58" s="2107">
        <v>3939645.25</v>
      </c>
      <c r="G58" s="2088">
        <v>3314643.69</v>
      </c>
      <c r="H58" s="2088">
        <v>3314643.69</v>
      </c>
      <c r="I58" s="2088">
        <v>3314643.69</v>
      </c>
      <c r="J58" s="2090">
        <v>3719905.07</v>
      </c>
      <c r="K58" s="2088">
        <v>3943099.38</v>
      </c>
      <c r="L58" s="2106">
        <v>4179685.34</v>
      </c>
      <c r="M58" s="247"/>
      <c r="N58" s="247"/>
      <c r="O58" s="247"/>
      <c r="P58" s="247"/>
    </row>
    <row r="59" spans="1:16" ht="11.25" customHeight="1" x14ac:dyDescent="0.25">
      <c r="A59" s="68" t="s">
        <v>1953</v>
      </c>
      <c r="B59" s="171"/>
      <c r="C59" s="2088">
        <v>0</v>
      </c>
      <c r="D59" s="2088"/>
      <c r="E59" s="2106"/>
      <c r="F59" s="2107">
        <v>585071.66</v>
      </c>
      <c r="G59" s="2107">
        <v>585071.66</v>
      </c>
      <c r="H59" s="2107">
        <v>585071.66</v>
      </c>
      <c r="I59" s="2107">
        <v>585071.66</v>
      </c>
      <c r="J59" s="2090">
        <v>632023.66</v>
      </c>
      <c r="K59" s="2088">
        <v>669945.07999999996</v>
      </c>
      <c r="L59" s="2106">
        <v>710141.78</v>
      </c>
      <c r="M59" s="247"/>
      <c r="N59" s="247"/>
      <c r="O59" s="247"/>
      <c r="P59" s="247"/>
    </row>
    <row r="60" spans="1:16" ht="11.25" customHeight="1" x14ac:dyDescent="0.25">
      <c r="A60" s="68" t="s">
        <v>2107</v>
      </c>
      <c r="B60" s="171"/>
      <c r="C60" s="2088">
        <v>65118</v>
      </c>
      <c r="D60" s="2088">
        <v>80304</v>
      </c>
      <c r="E60" s="2106">
        <v>82481</v>
      </c>
      <c r="F60" s="2107">
        <v>116612.88</v>
      </c>
      <c r="G60" s="2088">
        <v>439414.12</v>
      </c>
      <c r="H60" s="2088">
        <v>439414.12</v>
      </c>
      <c r="I60" s="2088">
        <v>439414.12</v>
      </c>
      <c r="J60" s="2090">
        <v>456900.75</v>
      </c>
      <c r="K60" s="2088">
        <v>484314.79</v>
      </c>
      <c r="L60" s="2106">
        <v>513373.68</v>
      </c>
      <c r="M60" s="247"/>
      <c r="N60" s="247"/>
      <c r="O60" s="247"/>
      <c r="P60" s="247"/>
    </row>
    <row r="61" spans="1:16" ht="11.25" customHeight="1" x14ac:dyDescent="0.25">
      <c r="A61" s="68" t="s">
        <v>1466</v>
      </c>
      <c r="B61" s="171"/>
      <c r="C61" s="2088">
        <v>822140</v>
      </c>
      <c r="D61" s="2088">
        <v>4082374</v>
      </c>
      <c r="E61" s="2106">
        <v>4822058</v>
      </c>
      <c r="F61" s="2107">
        <v>506809.02</v>
      </c>
      <c r="G61" s="2088">
        <v>463488.88</v>
      </c>
      <c r="H61" s="2088">
        <v>463488.88</v>
      </c>
      <c r="I61" s="2088">
        <v>463488.88</v>
      </c>
      <c r="J61" s="2090">
        <v>520737.99</v>
      </c>
      <c r="K61" s="2088">
        <v>551982.27</v>
      </c>
      <c r="L61" s="2106">
        <v>585101.21</v>
      </c>
      <c r="M61" s="247"/>
      <c r="N61" s="247"/>
      <c r="O61" s="247"/>
      <c r="P61" s="247"/>
    </row>
    <row r="62" spans="1:16" ht="11.25" customHeight="1" x14ac:dyDescent="0.25">
      <c r="A62" s="68" t="s">
        <v>1590</v>
      </c>
      <c r="B62" s="171"/>
      <c r="C62" s="2088">
        <v>0</v>
      </c>
      <c r="D62" s="2088"/>
      <c r="E62" s="2106"/>
      <c r="F62" s="2107"/>
      <c r="G62" s="2088"/>
      <c r="H62" s="2106"/>
      <c r="I62" s="2108"/>
      <c r="J62" s="2090"/>
      <c r="K62" s="2088"/>
      <c r="L62" s="2106"/>
      <c r="M62" s="247"/>
      <c r="N62" s="247"/>
      <c r="O62" s="247"/>
      <c r="P62" s="247"/>
    </row>
    <row r="63" spans="1:16" ht="11.25" customHeight="1" x14ac:dyDescent="0.25">
      <c r="A63" s="68" t="s">
        <v>1043</v>
      </c>
      <c r="B63" s="171"/>
      <c r="C63" s="2088">
        <v>147000</v>
      </c>
      <c r="D63" s="2088"/>
      <c r="E63" s="2106"/>
      <c r="F63" s="2107"/>
      <c r="G63" s="2088"/>
      <c r="H63" s="2106"/>
      <c r="I63" s="2108"/>
      <c r="J63" s="2090"/>
      <c r="K63" s="2088"/>
      <c r="L63" s="2106"/>
      <c r="M63" s="247"/>
      <c r="N63" s="247"/>
      <c r="O63" s="247"/>
      <c r="P63" s="247"/>
    </row>
    <row r="64" spans="1:16" ht="11.25" customHeight="1" x14ac:dyDescent="0.25">
      <c r="A64" s="68" t="s">
        <v>1591</v>
      </c>
      <c r="B64" s="171">
        <v>4</v>
      </c>
      <c r="C64" s="2088">
        <v>602000</v>
      </c>
      <c r="D64" s="2088"/>
      <c r="E64" s="2106"/>
      <c r="F64" s="2107"/>
      <c r="G64" s="2088"/>
      <c r="H64" s="2106"/>
      <c r="I64" s="2108"/>
      <c r="J64" s="2090"/>
      <c r="K64" s="2088"/>
      <c r="L64" s="2106"/>
      <c r="M64" s="247"/>
      <c r="N64" s="247"/>
      <c r="O64" s="247"/>
      <c r="P64" s="247"/>
    </row>
    <row r="65" spans="1:16" ht="11.25" customHeight="1" x14ac:dyDescent="0.25">
      <c r="A65" s="291" t="s">
        <v>139</v>
      </c>
      <c r="B65" s="171">
        <v>5</v>
      </c>
      <c r="C65" s="145">
        <f>SUM(C53:C64)</f>
        <v>41720983.379999995</v>
      </c>
      <c r="D65" s="145">
        <f t="shared" ref="D65:L65" si="6">SUM(D53:D64)</f>
        <v>49251332</v>
      </c>
      <c r="E65" s="146">
        <f t="shared" si="6"/>
        <v>53150282</v>
      </c>
      <c r="F65" s="147">
        <f t="shared" si="6"/>
        <v>65742054.199999996</v>
      </c>
      <c r="G65" s="145">
        <f t="shared" si="6"/>
        <v>62236745.249999985</v>
      </c>
      <c r="H65" s="146">
        <f t="shared" si="6"/>
        <v>62236745.249999985</v>
      </c>
      <c r="I65" s="144">
        <f t="shared" si="6"/>
        <v>62236745.249999985</v>
      </c>
      <c r="J65" s="148">
        <f t="shared" si="6"/>
        <v>70709750.819999993</v>
      </c>
      <c r="K65" s="145">
        <f t="shared" si="6"/>
        <v>74952335.86999999</v>
      </c>
      <c r="L65" s="146">
        <f t="shared" si="6"/>
        <v>79449476.019999996</v>
      </c>
      <c r="M65" s="247"/>
      <c r="N65" s="247"/>
      <c r="O65" s="247"/>
      <c r="P65" s="247"/>
    </row>
    <row r="66" spans="1:16" ht="11.25" customHeight="1" x14ac:dyDescent="0.25">
      <c r="A66" s="292" t="s">
        <v>474</v>
      </c>
      <c r="B66" s="171"/>
      <c r="C66" s="2088"/>
      <c r="D66" s="2088"/>
      <c r="E66" s="2106"/>
      <c r="F66" s="2107"/>
      <c r="G66" s="2088"/>
      <c r="H66" s="2106"/>
      <c r="I66" s="2108"/>
      <c r="J66" s="2090"/>
      <c r="K66" s="2088"/>
      <c r="L66" s="2106"/>
      <c r="M66" s="247"/>
      <c r="N66" s="247"/>
      <c r="O66" s="247"/>
      <c r="P66" s="247"/>
    </row>
    <row r="67" spans="1:16" ht="11.25" customHeight="1" x14ac:dyDescent="0.25">
      <c r="A67" s="204" t="str">
        <f>"Total "&amp;A52</f>
        <v>Total Employee related costs</v>
      </c>
      <c r="B67" s="171">
        <v>1</v>
      </c>
      <c r="C67" s="145">
        <f>C65-C66</f>
        <v>41720983.379999995</v>
      </c>
      <c r="D67" s="145">
        <f t="shared" ref="D67:L67" si="7">D65-D66</f>
        <v>49251332</v>
      </c>
      <c r="E67" s="146">
        <f t="shared" si="7"/>
        <v>53150282</v>
      </c>
      <c r="F67" s="147">
        <f t="shared" si="7"/>
        <v>65742054.199999996</v>
      </c>
      <c r="G67" s="145">
        <f t="shared" si="7"/>
        <v>62236745.249999985</v>
      </c>
      <c r="H67" s="146">
        <f t="shared" si="7"/>
        <v>62236745.249999985</v>
      </c>
      <c r="I67" s="144">
        <f t="shared" si="7"/>
        <v>62236745.249999985</v>
      </c>
      <c r="J67" s="148">
        <f t="shared" si="7"/>
        <v>70709750.819999993</v>
      </c>
      <c r="K67" s="145">
        <f t="shared" si="7"/>
        <v>74952335.86999999</v>
      </c>
      <c r="L67" s="146">
        <f t="shared" si="7"/>
        <v>79449476.019999996</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772</v>
      </c>
      <c r="B69" s="171"/>
      <c r="C69" s="1148"/>
      <c r="D69" s="1148"/>
      <c r="E69" s="1188"/>
      <c r="F69" s="1189"/>
      <c r="G69" s="1148"/>
      <c r="H69" s="1188"/>
      <c r="I69" s="1190"/>
      <c r="J69" s="1149"/>
      <c r="K69" s="1148"/>
      <c r="L69" s="1188"/>
      <c r="M69" s="247"/>
      <c r="N69" s="247"/>
      <c r="O69" s="247"/>
      <c r="P69" s="247"/>
    </row>
    <row r="70" spans="1:16" ht="11.25" customHeight="1" x14ac:dyDescent="0.25">
      <c r="A70" s="2152" t="s">
        <v>773</v>
      </c>
      <c r="B70" s="171"/>
      <c r="C70" s="2088"/>
      <c r="D70" s="2088"/>
      <c r="E70" s="2106"/>
      <c r="F70" s="2107"/>
      <c r="G70" s="2088"/>
      <c r="H70" s="2106"/>
      <c r="I70" s="2108"/>
      <c r="J70" s="2090"/>
      <c r="K70" s="2088"/>
      <c r="L70" s="2106"/>
      <c r="M70" s="247"/>
      <c r="N70" s="247"/>
      <c r="O70" s="247"/>
      <c r="P70" s="247"/>
    </row>
    <row r="71" spans="1:16" ht="11.25" customHeight="1" x14ac:dyDescent="0.25">
      <c r="A71" s="2152"/>
      <c r="B71" s="171"/>
      <c r="C71" s="2088"/>
      <c r="D71" s="2088"/>
      <c r="E71" s="2106"/>
      <c r="F71" s="2107"/>
      <c r="G71" s="2088"/>
      <c r="H71" s="2106"/>
      <c r="I71" s="2108"/>
      <c r="J71" s="2090"/>
      <c r="K71" s="2088"/>
      <c r="L71" s="2106"/>
      <c r="M71" s="247"/>
      <c r="N71" s="247"/>
      <c r="O71" s="247"/>
      <c r="P71" s="247"/>
    </row>
    <row r="72" spans="1:16" ht="11.25" customHeight="1" x14ac:dyDescent="0.25">
      <c r="A72" s="2152"/>
      <c r="B72" s="171"/>
      <c r="C72" s="2088"/>
      <c r="D72" s="2088"/>
      <c r="E72" s="2106"/>
      <c r="F72" s="2107"/>
      <c r="G72" s="2088"/>
      <c r="H72" s="2106"/>
      <c r="I72" s="2108"/>
      <c r="J72" s="2090"/>
      <c r="K72" s="2088"/>
      <c r="L72" s="2106"/>
      <c r="M72" s="247"/>
      <c r="N72" s="247"/>
      <c r="O72" s="247"/>
      <c r="P72" s="247"/>
    </row>
    <row r="73" spans="1:16" ht="11.25" customHeight="1" x14ac:dyDescent="0.25">
      <c r="A73" s="2152"/>
      <c r="B73" s="171"/>
      <c r="C73" s="2088"/>
      <c r="D73" s="2088"/>
      <c r="E73" s="2106"/>
      <c r="F73" s="2107"/>
      <c r="G73" s="2088"/>
      <c r="H73" s="2106"/>
      <c r="I73" s="2108"/>
      <c r="J73" s="2090"/>
      <c r="K73" s="2088"/>
      <c r="L73" s="2106"/>
      <c r="M73" s="247"/>
      <c r="N73" s="247"/>
      <c r="O73" s="247"/>
      <c r="P73" s="247"/>
    </row>
    <row r="74" spans="1:16" ht="11.25" customHeight="1" x14ac:dyDescent="0.25">
      <c r="A74" s="2152"/>
      <c r="B74" s="171"/>
      <c r="C74" s="2088"/>
      <c r="D74" s="2088"/>
      <c r="E74" s="2106"/>
      <c r="F74" s="2107"/>
      <c r="G74" s="2088"/>
      <c r="H74" s="2106"/>
      <c r="I74" s="2108"/>
      <c r="J74" s="2090"/>
      <c r="K74" s="2088"/>
      <c r="L74" s="2106"/>
      <c r="M74" s="247"/>
      <c r="N74" s="247"/>
      <c r="O74" s="247"/>
      <c r="P74" s="247"/>
    </row>
    <row r="75" spans="1:16" ht="11.25" customHeight="1" x14ac:dyDescent="0.25">
      <c r="A75" s="2152"/>
      <c r="B75" s="171"/>
      <c r="C75" s="2088"/>
      <c r="D75" s="2088"/>
      <c r="E75" s="2106"/>
      <c r="F75" s="2107"/>
      <c r="G75" s="2088"/>
      <c r="H75" s="2106"/>
      <c r="I75" s="2108"/>
      <c r="J75" s="2090"/>
      <c r="K75" s="2088"/>
      <c r="L75" s="2106"/>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1517</v>
      </c>
      <c r="B79" s="171"/>
      <c r="C79" s="2088">
        <v>37802336</v>
      </c>
      <c r="D79" s="2088">
        <v>37960565</v>
      </c>
      <c r="E79" s="2106">
        <v>40721576</v>
      </c>
      <c r="F79" s="2107">
        <v>42400000</v>
      </c>
      <c r="G79" s="2088">
        <v>42400000</v>
      </c>
      <c r="H79" s="2106">
        <v>42400000</v>
      </c>
      <c r="I79" s="2108">
        <v>42400000</v>
      </c>
      <c r="J79" s="2090">
        <v>44944000</v>
      </c>
      <c r="K79" s="2088">
        <v>47640640</v>
      </c>
      <c r="L79" s="2106">
        <v>50499078.399999999</v>
      </c>
      <c r="M79" s="247"/>
      <c r="N79" s="247"/>
      <c r="O79" s="247"/>
      <c r="P79" s="247"/>
    </row>
    <row r="80" spans="1:16" ht="11.25" customHeight="1" x14ac:dyDescent="0.25">
      <c r="A80" s="203" t="s">
        <v>911</v>
      </c>
      <c r="B80" s="171"/>
      <c r="C80" s="2088"/>
      <c r="D80" s="2088"/>
      <c r="E80" s="2106"/>
      <c r="F80" s="2107"/>
      <c r="G80" s="2088"/>
      <c r="H80" s="2106"/>
      <c r="I80" s="2108"/>
      <c r="J80" s="2090"/>
      <c r="K80" s="2088"/>
      <c r="L80" s="2106"/>
      <c r="M80" s="247"/>
      <c r="N80" s="247"/>
      <c r="O80" s="247"/>
      <c r="P80" s="247"/>
    </row>
    <row r="81" spans="1:16" ht="11.25" customHeight="1" x14ac:dyDescent="0.25">
      <c r="A81" s="203" t="s">
        <v>1400</v>
      </c>
      <c r="B81" s="171"/>
      <c r="C81" s="2088"/>
      <c r="D81" s="2088"/>
      <c r="E81" s="2106"/>
      <c r="F81" s="2107"/>
      <c r="G81" s="2088"/>
      <c r="H81" s="2106"/>
      <c r="I81" s="2108"/>
      <c r="J81" s="2090"/>
      <c r="K81" s="2088"/>
      <c r="L81" s="2106"/>
      <c r="M81" s="247"/>
      <c r="N81" s="247"/>
      <c r="O81" s="247"/>
      <c r="P81" s="247"/>
    </row>
    <row r="82" spans="1:16" ht="11.25" customHeight="1" x14ac:dyDescent="0.25">
      <c r="A82" s="203" t="s">
        <v>2108</v>
      </c>
      <c r="B82" s="171">
        <v>10</v>
      </c>
      <c r="C82" s="2088"/>
      <c r="D82" s="2088"/>
      <c r="E82" s="2106"/>
      <c r="F82" s="2107"/>
      <c r="G82" s="2088"/>
      <c r="H82" s="2106"/>
      <c r="I82" s="2108"/>
      <c r="J82" s="2090"/>
      <c r="K82" s="2088"/>
      <c r="L82" s="2106"/>
      <c r="M82" s="247"/>
      <c r="N82" s="247"/>
      <c r="O82" s="247"/>
      <c r="P82" s="247"/>
    </row>
    <row r="83" spans="1:16" ht="11.25" customHeight="1" x14ac:dyDescent="0.25">
      <c r="A83" s="204" t="str">
        <f>"Total "&amp;LEFT(A78,35)</f>
        <v>Total Depreciation &amp; asset impairment</v>
      </c>
      <c r="B83" s="171">
        <v>1</v>
      </c>
      <c r="C83" s="91">
        <f>SUM(C79:C81)-C82</f>
        <v>37802336</v>
      </c>
      <c r="D83" s="91">
        <f t="shared" ref="D83:L83" si="9">SUM(D79:D81)-D82</f>
        <v>37960565</v>
      </c>
      <c r="E83" s="92">
        <f t="shared" si="9"/>
        <v>40721576</v>
      </c>
      <c r="F83" s="93">
        <f t="shared" si="9"/>
        <v>42400000</v>
      </c>
      <c r="G83" s="91">
        <f t="shared" si="9"/>
        <v>42400000</v>
      </c>
      <c r="H83" s="92">
        <f t="shared" si="9"/>
        <v>42400000</v>
      </c>
      <c r="I83" s="90">
        <f t="shared" si="9"/>
        <v>42400000</v>
      </c>
      <c r="J83" s="94">
        <f>SUM(J79:J81)-J82</f>
        <v>44944000</v>
      </c>
      <c r="K83" s="91">
        <f t="shared" si="9"/>
        <v>47640640</v>
      </c>
      <c r="L83" s="92">
        <f t="shared" si="9"/>
        <v>50499078.399999999</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1159</v>
      </c>
      <c r="B86" s="171"/>
      <c r="C86" s="2088">
        <v>20324236.609999999</v>
      </c>
      <c r="D86" s="2088">
        <v>21544525</v>
      </c>
      <c r="E86" s="2106">
        <v>23580252</v>
      </c>
      <c r="F86" s="2107">
        <v>27220941.140000001</v>
      </c>
      <c r="G86" s="2088">
        <v>27220941.140000001</v>
      </c>
      <c r="H86" s="2106">
        <v>27220941.140000001</v>
      </c>
      <c r="I86" s="2108">
        <v>27220941.140000001</v>
      </c>
      <c r="J86" s="2090">
        <v>29779709.607160002</v>
      </c>
      <c r="K86" s="2088">
        <v>31566492.183589604</v>
      </c>
      <c r="L86" s="2106">
        <v>33460481.714604981</v>
      </c>
      <c r="M86" s="247"/>
      <c r="N86" s="247"/>
      <c r="O86" s="247"/>
      <c r="P86" s="247"/>
    </row>
    <row r="87" spans="1:16" ht="11.25" customHeight="1" x14ac:dyDescent="0.25">
      <c r="A87" s="68" t="s">
        <v>1160</v>
      </c>
      <c r="B87" s="171"/>
      <c r="C87" s="2088"/>
      <c r="D87" s="2088"/>
      <c r="E87" s="2106"/>
      <c r="F87" s="2107"/>
      <c r="G87" s="2088"/>
      <c r="H87" s="2106"/>
      <c r="I87" s="2108"/>
      <c r="J87" s="2090"/>
      <c r="K87" s="2088"/>
      <c r="L87" s="2106"/>
      <c r="M87" s="247"/>
      <c r="N87" s="247"/>
      <c r="O87" s="247"/>
      <c r="P87" s="247"/>
    </row>
    <row r="88" spans="1:16" ht="10.5" customHeight="1" x14ac:dyDescent="0.25">
      <c r="A88" s="204" t="s">
        <v>1161</v>
      </c>
      <c r="B88" s="171">
        <v>1</v>
      </c>
      <c r="C88" s="91">
        <f>SUM(C86:C87)</f>
        <v>20324236.609999999</v>
      </c>
      <c r="D88" s="91">
        <f t="shared" ref="D88:L88" si="10">SUM(D86:D87)</f>
        <v>21544525</v>
      </c>
      <c r="E88" s="92">
        <f t="shared" si="10"/>
        <v>23580252</v>
      </c>
      <c r="F88" s="93">
        <f t="shared" si="10"/>
        <v>27220941.140000001</v>
      </c>
      <c r="G88" s="91">
        <f t="shared" si="10"/>
        <v>27220941.140000001</v>
      </c>
      <c r="H88" s="92">
        <f t="shared" si="10"/>
        <v>27220941.140000001</v>
      </c>
      <c r="I88" s="90">
        <f t="shared" si="10"/>
        <v>27220941.140000001</v>
      </c>
      <c r="J88" s="94">
        <f t="shared" si="10"/>
        <v>29779709.607160002</v>
      </c>
      <c r="K88" s="91">
        <f t="shared" si="10"/>
        <v>31566492.183589604</v>
      </c>
      <c r="L88" s="92">
        <f t="shared" si="10"/>
        <v>33460481.714604981</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742</v>
      </c>
      <c r="B90" s="171"/>
      <c r="C90" s="96"/>
      <c r="D90" s="96"/>
      <c r="E90" s="97"/>
      <c r="F90" s="98"/>
      <c r="G90" s="96"/>
      <c r="H90" s="97"/>
      <c r="I90" s="95"/>
      <c r="J90" s="99"/>
      <c r="K90" s="96"/>
      <c r="L90" s="97"/>
      <c r="M90" s="247"/>
      <c r="N90" s="247"/>
      <c r="O90" s="247"/>
      <c r="P90" s="247"/>
    </row>
    <row r="91" spans="1:16" ht="12.75" customHeight="1" x14ac:dyDescent="0.25">
      <c r="A91" s="68" t="s">
        <v>2099</v>
      </c>
      <c r="B91" s="171"/>
      <c r="C91" s="923">
        <f>'SA21'!C32</f>
        <v>0</v>
      </c>
      <c r="D91" s="923">
        <f>'SA21'!D32</f>
        <v>1173633</v>
      </c>
      <c r="E91" s="924">
        <f>'SA21'!E32</f>
        <v>1587562</v>
      </c>
      <c r="F91" s="925">
        <f>'SA21'!F32</f>
        <v>2467175</v>
      </c>
      <c r="G91" s="923">
        <f>'SA21'!G32</f>
        <v>2467175</v>
      </c>
      <c r="H91" s="924">
        <f>'SA21'!H32</f>
        <v>2467175</v>
      </c>
      <c r="I91" s="926">
        <f>'SA21'!I32</f>
        <v>2467175</v>
      </c>
      <c r="J91" s="927">
        <f>'SA21'!J32</f>
        <v>2749886.22</v>
      </c>
      <c r="K91" s="923">
        <f>'SA21'!K32</f>
        <v>2914879.86</v>
      </c>
      <c r="L91" s="924">
        <f>'SA21'!L32</f>
        <v>3089772.66</v>
      </c>
      <c r="M91" s="247"/>
      <c r="N91" s="247"/>
      <c r="O91" s="247"/>
      <c r="P91" s="247"/>
    </row>
    <row r="92" spans="1:16" ht="12.75" customHeight="1" x14ac:dyDescent="0.25">
      <c r="A92" s="68" t="s">
        <v>2100</v>
      </c>
      <c r="B92" s="171"/>
      <c r="C92" s="923">
        <f>'SA21'!C63</f>
        <v>0</v>
      </c>
      <c r="D92" s="923">
        <f>'SA21'!D63</f>
        <v>0</v>
      </c>
      <c r="E92" s="924">
        <f>'SA21'!E63</f>
        <v>0</v>
      </c>
      <c r="F92" s="925">
        <f>'SA21'!F63</f>
        <v>0</v>
      </c>
      <c r="G92" s="923">
        <f>'SA21'!G63</f>
        <v>0</v>
      </c>
      <c r="H92" s="924">
        <f>'SA21'!H63</f>
        <v>0</v>
      </c>
      <c r="I92" s="926">
        <f>'SA21'!I63</f>
        <v>0</v>
      </c>
      <c r="J92" s="927">
        <f>'SA21'!J63</f>
        <v>0</v>
      </c>
      <c r="K92" s="923">
        <f>'SA21'!K63</f>
        <v>0</v>
      </c>
      <c r="L92" s="924">
        <f>'SA21'!L63</f>
        <v>0</v>
      </c>
      <c r="M92" s="247"/>
      <c r="N92" s="247"/>
      <c r="O92" s="247"/>
      <c r="P92" s="247"/>
    </row>
    <row r="93" spans="1:16" ht="12.75" customHeight="1" x14ac:dyDescent="0.25">
      <c r="A93" s="204" t="s">
        <v>2101</v>
      </c>
      <c r="B93" s="171">
        <v>1</v>
      </c>
      <c r="C93" s="91">
        <f>SUM(C91:C92)</f>
        <v>0</v>
      </c>
      <c r="D93" s="91">
        <f t="shared" ref="D93:L93" si="11">SUM(D91:D92)</f>
        <v>1173633</v>
      </c>
      <c r="E93" s="92">
        <f t="shared" si="11"/>
        <v>1587562</v>
      </c>
      <c r="F93" s="93">
        <f t="shared" si="11"/>
        <v>2467175</v>
      </c>
      <c r="G93" s="91">
        <f t="shared" si="11"/>
        <v>2467175</v>
      </c>
      <c r="H93" s="92">
        <f t="shared" si="11"/>
        <v>2467175</v>
      </c>
      <c r="I93" s="90">
        <f t="shared" si="11"/>
        <v>2467175</v>
      </c>
      <c r="J93" s="94">
        <f t="shared" si="11"/>
        <v>2749886.22</v>
      </c>
      <c r="K93" s="91">
        <f t="shared" si="11"/>
        <v>2914879.86</v>
      </c>
      <c r="L93" s="92">
        <f t="shared" si="11"/>
        <v>3089772.66</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52" t="s">
        <v>537</v>
      </c>
      <c r="B96" s="171"/>
      <c r="C96" s="2088"/>
      <c r="D96" s="2088"/>
      <c r="E96" s="2106"/>
      <c r="F96" s="2107"/>
      <c r="G96" s="2088"/>
      <c r="H96" s="2106"/>
      <c r="I96" s="2108"/>
      <c r="J96" s="2090"/>
      <c r="K96" s="2088"/>
      <c r="L96" s="2106"/>
      <c r="M96" s="247"/>
      <c r="N96" s="247"/>
      <c r="O96" s="247"/>
      <c r="P96" s="247"/>
    </row>
    <row r="97" spans="1:16" ht="11.25" customHeight="1" x14ac:dyDescent="0.25">
      <c r="A97" s="2152" t="s">
        <v>2289</v>
      </c>
      <c r="B97" s="171"/>
      <c r="C97" s="2088"/>
      <c r="D97" s="2088">
        <v>2755342</v>
      </c>
      <c r="E97" s="2106">
        <v>3784558</v>
      </c>
      <c r="F97" s="2107"/>
      <c r="G97" s="2088"/>
      <c r="H97" s="2106"/>
      <c r="I97" s="2108"/>
      <c r="J97" s="2090"/>
      <c r="K97" s="2088"/>
      <c r="L97" s="2106"/>
      <c r="M97" s="247"/>
      <c r="N97" s="247"/>
      <c r="O97" s="247"/>
      <c r="P97" s="247"/>
    </row>
    <row r="98" spans="1:16" ht="11.25" customHeight="1" x14ac:dyDescent="0.25">
      <c r="A98" s="2152" t="s">
        <v>2290</v>
      </c>
      <c r="B98" s="171"/>
      <c r="C98" s="2088"/>
      <c r="D98" s="2088">
        <v>99577</v>
      </c>
      <c r="E98" s="2106">
        <v>286688</v>
      </c>
      <c r="F98" s="2107"/>
      <c r="G98" s="2088"/>
      <c r="H98" s="2106"/>
      <c r="I98" s="2108"/>
      <c r="J98" s="2090"/>
      <c r="K98" s="2088"/>
      <c r="L98" s="2106"/>
      <c r="M98" s="247"/>
      <c r="N98" s="247"/>
      <c r="O98" s="247"/>
      <c r="P98" s="247"/>
    </row>
    <row r="99" spans="1:16" ht="11.25" customHeight="1" x14ac:dyDescent="0.25">
      <c r="A99" s="2152"/>
      <c r="B99" s="171"/>
      <c r="C99" s="2088"/>
      <c r="D99" s="2088"/>
      <c r="E99" s="2106"/>
      <c r="F99" s="2107"/>
      <c r="G99" s="2088"/>
      <c r="H99" s="2106"/>
      <c r="I99" s="2108"/>
      <c r="J99" s="2090"/>
      <c r="K99" s="2088"/>
      <c r="L99" s="2106"/>
      <c r="M99" s="247"/>
      <c r="N99" s="247"/>
      <c r="O99" s="247"/>
      <c r="P99" s="247"/>
    </row>
    <row r="100" spans="1:16" ht="11.25" customHeight="1" x14ac:dyDescent="0.25">
      <c r="A100" s="2152"/>
      <c r="B100" s="171"/>
      <c r="C100" s="2088"/>
      <c r="D100" s="2088"/>
      <c r="E100" s="2106"/>
      <c r="F100" s="2107"/>
      <c r="G100" s="2088"/>
      <c r="H100" s="2106"/>
      <c r="I100" s="2108"/>
      <c r="J100" s="2090"/>
      <c r="K100" s="2088"/>
      <c r="L100" s="2106"/>
      <c r="M100" s="247"/>
      <c r="N100" s="247"/>
      <c r="O100" s="247"/>
      <c r="P100" s="247"/>
    </row>
    <row r="101" spans="1:16" ht="11.25" customHeight="1" x14ac:dyDescent="0.25">
      <c r="A101" s="2152"/>
      <c r="B101" s="171"/>
      <c r="C101" s="2088"/>
      <c r="D101" s="2088"/>
      <c r="E101" s="2106"/>
      <c r="F101" s="2107"/>
      <c r="G101" s="2088"/>
      <c r="H101" s="2106"/>
      <c r="I101" s="2108"/>
      <c r="J101" s="2090"/>
      <c r="K101" s="2088"/>
      <c r="L101" s="2106"/>
      <c r="M101" s="247"/>
      <c r="N101" s="247"/>
      <c r="O101" s="247"/>
      <c r="P101" s="247"/>
    </row>
    <row r="102" spans="1:16" ht="11.25" customHeight="1" x14ac:dyDescent="0.25">
      <c r="A102" s="2152"/>
      <c r="B102" s="171"/>
      <c r="C102" s="2088"/>
      <c r="D102" s="2088"/>
      <c r="E102" s="2106"/>
      <c r="F102" s="2107"/>
      <c r="G102" s="2088"/>
      <c r="H102" s="2106"/>
      <c r="I102" s="2108"/>
      <c r="J102" s="2090"/>
      <c r="K102" s="2088"/>
      <c r="L102" s="2106"/>
      <c r="M102" s="247"/>
      <c r="N102" s="247"/>
      <c r="O102" s="247"/>
      <c r="P102" s="247"/>
    </row>
    <row r="103" spans="1:16" ht="11.25" customHeight="1" x14ac:dyDescent="0.25">
      <c r="A103" s="2152"/>
      <c r="B103" s="171"/>
      <c r="C103" s="2088"/>
      <c r="D103" s="2088"/>
      <c r="E103" s="2106"/>
      <c r="F103" s="2107"/>
      <c r="G103" s="2088"/>
      <c r="H103" s="2106"/>
      <c r="I103" s="2108"/>
      <c r="J103" s="2090"/>
      <c r="K103" s="2088"/>
      <c r="L103" s="2106"/>
      <c r="M103" s="247"/>
      <c r="N103" s="247"/>
      <c r="O103" s="247"/>
      <c r="P103" s="247"/>
    </row>
    <row r="104" spans="1:16" ht="11.25" customHeight="1" x14ac:dyDescent="0.25">
      <c r="A104" s="2152"/>
      <c r="B104" s="171"/>
      <c r="C104" s="2088"/>
      <c r="D104" s="2088"/>
      <c r="E104" s="2106"/>
      <c r="F104" s="2107"/>
      <c r="G104" s="2088"/>
      <c r="H104" s="2106"/>
      <c r="I104" s="2108"/>
      <c r="J104" s="2090"/>
      <c r="K104" s="2088"/>
      <c r="L104" s="2106"/>
      <c r="M104" s="247"/>
      <c r="N104" s="247"/>
      <c r="O104" s="247"/>
      <c r="P104" s="247"/>
    </row>
    <row r="105" spans="1:16" ht="11.25" customHeight="1" x14ac:dyDescent="0.25">
      <c r="A105" s="2152"/>
      <c r="B105" s="171"/>
      <c r="C105" s="2088"/>
      <c r="D105" s="2088"/>
      <c r="E105" s="2106"/>
      <c r="F105" s="2107"/>
      <c r="G105" s="2088"/>
      <c r="H105" s="2106"/>
      <c r="I105" s="2108"/>
      <c r="J105" s="2090"/>
      <c r="K105" s="2088"/>
      <c r="L105" s="2106"/>
      <c r="M105" s="247"/>
      <c r="N105" s="247"/>
      <c r="O105" s="247"/>
      <c r="P105" s="247"/>
    </row>
    <row r="106" spans="1:16" ht="11.25" customHeight="1" x14ac:dyDescent="0.25">
      <c r="A106" s="2152"/>
      <c r="B106" s="171"/>
      <c r="C106" s="2088"/>
      <c r="D106" s="2088"/>
      <c r="E106" s="2106"/>
      <c r="F106" s="2107"/>
      <c r="G106" s="2088"/>
      <c r="H106" s="2106"/>
      <c r="I106" s="2108"/>
      <c r="J106" s="2090"/>
      <c r="K106" s="2088"/>
      <c r="L106" s="2106"/>
      <c r="M106" s="247"/>
      <c r="N106" s="247"/>
      <c r="O106" s="247"/>
      <c r="P106" s="247"/>
    </row>
    <row r="107" spans="1:16" ht="11.25" customHeight="1" x14ac:dyDescent="0.25">
      <c r="A107" s="2152"/>
      <c r="B107" s="171"/>
      <c r="C107" s="2088"/>
      <c r="D107" s="2088"/>
      <c r="E107" s="2106"/>
      <c r="F107" s="2107"/>
      <c r="G107" s="2088"/>
      <c r="H107" s="2106"/>
      <c r="I107" s="2108"/>
      <c r="J107" s="2090"/>
      <c r="K107" s="2088"/>
      <c r="L107" s="2106"/>
      <c r="M107" s="247"/>
      <c r="N107" s="247"/>
      <c r="O107" s="247"/>
      <c r="P107" s="247"/>
    </row>
    <row r="108" spans="1:16" ht="11.25" customHeight="1" x14ac:dyDescent="0.25">
      <c r="A108" s="2152"/>
      <c r="B108" s="171"/>
      <c r="C108" s="2088"/>
      <c r="D108" s="2088"/>
      <c r="E108" s="2106"/>
      <c r="F108" s="2107"/>
      <c r="G108" s="2088"/>
      <c r="H108" s="2106"/>
      <c r="I108" s="2108"/>
      <c r="J108" s="2090"/>
      <c r="K108" s="2088"/>
      <c r="L108" s="2106"/>
      <c r="M108" s="247"/>
      <c r="N108" s="247"/>
      <c r="O108" s="247"/>
      <c r="P108" s="247"/>
    </row>
    <row r="109" spans="1:16" ht="11.25" customHeight="1" x14ac:dyDescent="0.25">
      <c r="A109" s="2152"/>
      <c r="B109" s="171"/>
      <c r="C109" s="2088"/>
      <c r="D109" s="2088"/>
      <c r="E109" s="2106"/>
      <c r="F109" s="2107"/>
      <c r="G109" s="2088"/>
      <c r="H109" s="2106"/>
      <c r="I109" s="2108"/>
      <c r="J109" s="2090"/>
      <c r="K109" s="2088"/>
      <c r="L109" s="2106"/>
      <c r="M109" s="247"/>
      <c r="N109" s="247"/>
      <c r="O109" s="247"/>
      <c r="P109" s="247"/>
    </row>
    <row r="110" spans="1:16" ht="11.25" customHeight="1" x14ac:dyDescent="0.25">
      <c r="A110" s="2152"/>
      <c r="B110" s="171"/>
      <c r="C110" s="2088"/>
      <c r="D110" s="2088"/>
      <c r="E110" s="2106"/>
      <c r="F110" s="2107"/>
      <c r="G110" s="2088"/>
      <c r="H110" s="2106"/>
      <c r="I110" s="2108"/>
      <c r="J110" s="2090"/>
      <c r="K110" s="2088"/>
      <c r="L110" s="2106"/>
      <c r="M110" s="247"/>
      <c r="N110" s="247"/>
      <c r="O110" s="247"/>
      <c r="P110" s="247"/>
    </row>
    <row r="111" spans="1:16" ht="11.25" customHeight="1" x14ac:dyDescent="0.25">
      <c r="A111" s="2152"/>
      <c r="B111" s="171"/>
      <c r="C111" s="2088"/>
      <c r="D111" s="2088"/>
      <c r="E111" s="2106"/>
      <c r="F111" s="2107"/>
      <c r="G111" s="2088"/>
      <c r="H111" s="2106"/>
      <c r="I111" s="2108"/>
      <c r="J111" s="2090"/>
      <c r="K111" s="2088"/>
      <c r="L111" s="2106"/>
      <c r="M111" s="247"/>
      <c r="N111" s="247"/>
      <c r="O111" s="247"/>
      <c r="P111" s="247"/>
    </row>
    <row r="112" spans="1:16" ht="11.25" customHeight="1" x14ac:dyDescent="0.25">
      <c r="A112" s="2152"/>
      <c r="B112" s="171"/>
      <c r="C112" s="2088"/>
      <c r="D112" s="2088"/>
      <c r="E112" s="2106"/>
      <c r="F112" s="2107"/>
      <c r="G112" s="2088"/>
      <c r="H112" s="2106"/>
      <c r="I112" s="2108"/>
      <c r="J112" s="2090"/>
      <c r="K112" s="2088"/>
      <c r="L112" s="2106"/>
      <c r="M112" s="247"/>
      <c r="N112" s="247"/>
      <c r="O112" s="247"/>
      <c r="P112" s="247"/>
    </row>
    <row r="113" spans="1:16" ht="11.25" customHeight="1" x14ac:dyDescent="0.25">
      <c r="A113" s="2152"/>
      <c r="B113" s="171"/>
      <c r="C113" s="2088"/>
      <c r="D113" s="2088"/>
      <c r="E113" s="2106"/>
      <c r="F113" s="2107"/>
      <c r="G113" s="2088"/>
      <c r="H113" s="2106"/>
      <c r="I113" s="2108"/>
      <c r="J113" s="2090"/>
      <c r="K113" s="2088"/>
      <c r="L113" s="2106"/>
      <c r="M113" s="247"/>
      <c r="N113" s="247"/>
      <c r="O113" s="247"/>
      <c r="P113" s="247"/>
    </row>
    <row r="114" spans="1:16" ht="11.25" customHeight="1" x14ac:dyDescent="0.25">
      <c r="A114" s="2152"/>
      <c r="B114" s="171"/>
      <c r="C114" s="2088"/>
      <c r="D114" s="2088"/>
      <c r="E114" s="2106"/>
      <c r="F114" s="2107"/>
      <c r="G114" s="2088"/>
      <c r="H114" s="2106"/>
      <c r="I114" s="2108"/>
      <c r="J114" s="2090"/>
      <c r="K114" s="2088"/>
      <c r="L114" s="2106"/>
      <c r="M114" s="247"/>
      <c r="N114" s="247"/>
      <c r="O114" s="247"/>
      <c r="P114" s="247"/>
    </row>
    <row r="115" spans="1:16" ht="11.25" customHeight="1" x14ac:dyDescent="0.25">
      <c r="A115" s="2152"/>
      <c r="B115" s="171"/>
      <c r="C115" s="2088"/>
      <c r="D115" s="2088"/>
      <c r="E115" s="2106"/>
      <c r="F115" s="2107"/>
      <c r="G115" s="2088"/>
      <c r="H115" s="2106"/>
      <c r="I115" s="2108"/>
      <c r="J115" s="2090"/>
      <c r="K115" s="2088"/>
      <c r="L115" s="2106"/>
      <c r="M115" s="247"/>
      <c r="N115" s="247"/>
      <c r="O115" s="247"/>
      <c r="P115" s="247"/>
    </row>
    <row r="116" spans="1:16" ht="11.25" customHeight="1" x14ac:dyDescent="0.25">
      <c r="A116" s="2152"/>
      <c r="B116" s="171"/>
      <c r="C116" s="2088"/>
      <c r="D116" s="2088"/>
      <c r="E116" s="2106"/>
      <c r="F116" s="2107"/>
      <c r="G116" s="2088"/>
      <c r="H116" s="2106"/>
      <c r="I116" s="2108"/>
      <c r="J116" s="2090"/>
      <c r="K116" s="2088"/>
      <c r="L116" s="2106"/>
      <c r="M116" s="247"/>
      <c r="N116" s="247"/>
      <c r="O116" s="247"/>
      <c r="P116" s="247"/>
    </row>
    <row r="117" spans="1:16" ht="11.25" customHeight="1" x14ac:dyDescent="0.25">
      <c r="A117" s="2152"/>
      <c r="B117" s="171"/>
      <c r="C117" s="2088"/>
      <c r="D117" s="2088"/>
      <c r="E117" s="2106"/>
      <c r="F117" s="2107"/>
      <c r="G117" s="2088"/>
      <c r="H117" s="2106"/>
      <c r="I117" s="2108"/>
      <c r="J117" s="2090"/>
      <c r="K117" s="2088"/>
      <c r="L117" s="2106"/>
      <c r="M117" s="247"/>
      <c r="N117" s="247"/>
      <c r="O117" s="247"/>
      <c r="P117" s="247"/>
    </row>
    <row r="118" spans="1:16" ht="11.25" customHeight="1" x14ac:dyDescent="0.25">
      <c r="A118" s="2152"/>
      <c r="B118" s="171"/>
      <c r="C118" s="2088"/>
      <c r="D118" s="2088"/>
      <c r="E118" s="2106"/>
      <c r="F118" s="2107"/>
      <c r="G118" s="2088"/>
      <c r="H118" s="2106"/>
      <c r="I118" s="2108"/>
      <c r="J118" s="2090"/>
      <c r="K118" s="2088"/>
      <c r="L118" s="2106"/>
      <c r="M118" s="247"/>
      <c r="N118" s="247"/>
      <c r="O118" s="247"/>
      <c r="P118" s="247"/>
    </row>
    <row r="119" spans="1:16" ht="11.25" customHeight="1" x14ac:dyDescent="0.25">
      <c r="A119" s="2152"/>
      <c r="B119" s="171"/>
      <c r="C119" s="2088"/>
      <c r="D119" s="2088"/>
      <c r="E119" s="2106"/>
      <c r="F119" s="2107"/>
      <c r="G119" s="2088"/>
      <c r="H119" s="2106"/>
      <c r="I119" s="2108"/>
      <c r="J119" s="2090"/>
      <c r="K119" s="2088"/>
      <c r="L119" s="2106"/>
      <c r="M119" s="247"/>
      <c r="N119" s="247"/>
      <c r="O119" s="247"/>
      <c r="P119" s="247"/>
    </row>
    <row r="120" spans="1:16" ht="11.25" customHeight="1" x14ac:dyDescent="0.25">
      <c r="A120" s="2152"/>
      <c r="B120" s="171"/>
      <c r="C120" s="2088"/>
      <c r="D120" s="2088"/>
      <c r="E120" s="2106"/>
      <c r="F120" s="2107"/>
      <c r="G120" s="2088"/>
      <c r="H120" s="2106"/>
      <c r="I120" s="2108"/>
      <c r="J120" s="2090"/>
      <c r="K120" s="2088"/>
      <c r="L120" s="2106"/>
      <c r="M120" s="247"/>
      <c r="N120" s="247"/>
      <c r="O120" s="247"/>
      <c r="P120" s="247"/>
    </row>
    <row r="121" spans="1:16" ht="11.25" customHeight="1" x14ac:dyDescent="0.25">
      <c r="A121" s="1390" t="s">
        <v>139</v>
      </c>
      <c r="B121" s="171">
        <v>1</v>
      </c>
      <c r="C121" s="91">
        <f t="shared" ref="C121:L121" si="12">SUM(C96:C120)</f>
        <v>0</v>
      </c>
      <c r="D121" s="91">
        <f t="shared" si="12"/>
        <v>2854919</v>
      </c>
      <c r="E121" s="92">
        <f t="shared" si="12"/>
        <v>4071246</v>
      </c>
      <c r="F121" s="93">
        <f t="shared" si="12"/>
        <v>0</v>
      </c>
      <c r="G121" s="91">
        <f t="shared" si="12"/>
        <v>0</v>
      </c>
      <c r="H121" s="92">
        <f t="shared" si="12"/>
        <v>0</v>
      </c>
      <c r="I121" s="90">
        <f t="shared" si="12"/>
        <v>0</v>
      </c>
      <c r="J121" s="94">
        <f t="shared" si="12"/>
        <v>0</v>
      </c>
      <c r="K121" s="91">
        <f t="shared" si="12"/>
        <v>0</v>
      </c>
      <c r="L121" s="92">
        <f t="shared" si="12"/>
        <v>0</v>
      </c>
      <c r="M121" s="247"/>
      <c r="N121" s="247"/>
      <c r="O121" s="247"/>
      <c r="P121" s="247"/>
    </row>
    <row r="122" spans="1:16" ht="11.25" customHeight="1" x14ac:dyDescent="0.25">
      <c r="A122" s="294" t="s">
        <v>1403</v>
      </c>
      <c r="B122" s="171"/>
      <c r="C122" s="96"/>
      <c r="D122" s="96"/>
      <c r="E122" s="97"/>
      <c r="F122" s="98"/>
      <c r="G122" s="96"/>
      <c r="H122" s="97"/>
      <c r="I122" s="95"/>
      <c r="J122" s="99"/>
      <c r="K122" s="96"/>
      <c r="L122" s="97"/>
      <c r="M122" s="247"/>
      <c r="N122" s="247"/>
      <c r="O122" s="247"/>
      <c r="P122" s="247"/>
    </row>
    <row r="123" spans="1:16" ht="11.25" customHeight="1" x14ac:dyDescent="0.25">
      <c r="A123" s="295" t="s">
        <v>612</v>
      </c>
      <c r="B123" s="171"/>
      <c r="C123" s="2121"/>
      <c r="D123" s="2121"/>
      <c r="E123" s="2122"/>
      <c r="F123" s="2123"/>
      <c r="G123" s="2121"/>
      <c r="H123" s="2122"/>
      <c r="I123" s="1457"/>
      <c r="J123" s="2154"/>
      <c r="K123" s="2121"/>
      <c r="L123" s="2122"/>
      <c r="M123" s="247"/>
      <c r="N123" s="247"/>
      <c r="O123" s="247"/>
      <c r="P123" s="247"/>
    </row>
    <row r="124" spans="1:16" ht="11.25" customHeight="1" x14ac:dyDescent="0.25">
      <c r="A124" s="295" t="s">
        <v>908</v>
      </c>
      <c r="B124" s="171"/>
      <c r="C124" s="2121"/>
      <c r="D124" s="2121"/>
      <c r="E124" s="2122"/>
      <c r="F124" s="2123"/>
      <c r="G124" s="2121"/>
      <c r="H124" s="2122"/>
      <c r="I124" s="1457"/>
      <c r="J124" s="2154"/>
      <c r="K124" s="2121"/>
      <c r="L124" s="2122"/>
      <c r="M124" s="247"/>
      <c r="N124" s="247"/>
      <c r="O124" s="247"/>
      <c r="P124" s="247"/>
    </row>
    <row r="125" spans="1:16" ht="11.25" customHeight="1" x14ac:dyDescent="0.25">
      <c r="A125" s="295" t="s">
        <v>909</v>
      </c>
      <c r="B125" s="171"/>
      <c r="C125" s="2121"/>
      <c r="D125" s="2121"/>
      <c r="E125" s="2122"/>
      <c r="F125" s="2123"/>
      <c r="G125" s="2121"/>
      <c r="H125" s="2122"/>
      <c r="I125" s="1457"/>
      <c r="J125" s="2154"/>
      <c r="K125" s="2121"/>
      <c r="L125" s="2122"/>
      <c r="M125" s="247"/>
      <c r="N125" s="247"/>
      <c r="O125" s="247"/>
      <c r="P125" s="247"/>
    </row>
    <row r="126" spans="1:16" ht="11.25" customHeight="1" x14ac:dyDescent="0.25">
      <c r="A126" s="295" t="s">
        <v>276</v>
      </c>
      <c r="B126" s="171"/>
      <c r="C126" s="2121"/>
      <c r="D126" s="2121"/>
      <c r="E126" s="2122"/>
      <c r="F126" s="2123"/>
      <c r="G126" s="2121"/>
      <c r="H126" s="2122"/>
      <c r="I126" s="1457"/>
      <c r="J126" s="2154"/>
      <c r="K126" s="2121"/>
      <c r="L126" s="2122"/>
      <c r="M126" s="247"/>
      <c r="N126" s="247"/>
      <c r="O126" s="247"/>
      <c r="P126" s="247"/>
    </row>
    <row r="127" spans="1:16" ht="11.25" customHeight="1" x14ac:dyDescent="0.25">
      <c r="A127" s="1043" t="s">
        <v>1404</v>
      </c>
      <c r="B127" s="171"/>
      <c r="C127" s="91">
        <f>SUM(C121:C126)</f>
        <v>0</v>
      </c>
      <c r="D127" s="91">
        <f t="shared" ref="D127:L127" si="13">SUM(D121:D126)</f>
        <v>2854919</v>
      </c>
      <c r="E127" s="92">
        <f t="shared" si="13"/>
        <v>4071246</v>
      </c>
      <c r="F127" s="93">
        <f t="shared" si="13"/>
        <v>0</v>
      </c>
      <c r="G127" s="91">
        <f t="shared" si="13"/>
        <v>0</v>
      </c>
      <c r="H127" s="92">
        <f t="shared" si="13"/>
        <v>0</v>
      </c>
      <c r="I127" s="90">
        <f t="shared" si="13"/>
        <v>0</v>
      </c>
      <c r="J127" s="94">
        <f t="shared" si="13"/>
        <v>0</v>
      </c>
      <c r="K127" s="91">
        <f t="shared" si="13"/>
        <v>0</v>
      </c>
      <c r="L127" s="92">
        <f t="shared" si="13"/>
        <v>0</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2088">
        <v>0</v>
      </c>
      <c r="D130" s="2088"/>
      <c r="E130" s="2106"/>
      <c r="F130" s="2107"/>
      <c r="G130" s="2088"/>
      <c r="H130" s="2106"/>
      <c r="I130" s="2108"/>
      <c r="J130" s="2090"/>
      <c r="K130" s="2088"/>
      <c r="L130" s="2106"/>
      <c r="M130" s="247"/>
      <c r="N130" s="247"/>
      <c r="O130" s="247"/>
      <c r="P130" s="247"/>
    </row>
    <row r="131" spans="1:16" ht="11.25" customHeight="1" x14ac:dyDescent="0.25">
      <c r="A131" s="203" t="s">
        <v>1442</v>
      </c>
      <c r="B131" s="171"/>
      <c r="C131" s="2088">
        <v>3603380.45</v>
      </c>
      <c r="D131" s="2088"/>
      <c r="E131" s="2106"/>
      <c r="F131" s="2107"/>
      <c r="G131" s="2088"/>
      <c r="H131" s="2106"/>
      <c r="I131" s="2108"/>
      <c r="J131" s="2090"/>
      <c r="K131" s="2088"/>
      <c r="L131" s="2106"/>
      <c r="M131" s="247"/>
      <c r="N131" s="247"/>
      <c r="O131" s="247"/>
      <c r="P131" s="247"/>
    </row>
    <row r="132" spans="1:16" ht="11.25" customHeight="1" x14ac:dyDescent="0.25">
      <c r="A132" s="203" t="s">
        <v>657</v>
      </c>
      <c r="B132" s="171"/>
      <c r="C132" s="2088">
        <v>6797532.7299999995</v>
      </c>
      <c r="D132" s="2088">
        <v>1114220</v>
      </c>
      <c r="E132" s="2106">
        <v>2989168</v>
      </c>
      <c r="F132" s="2107"/>
      <c r="G132" s="2088">
        <v>3000000</v>
      </c>
      <c r="H132" s="2106">
        <v>3000000</v>
      </c>
      <c r="I132" s="2108">
        <v>3000000</v>
      </c>
      <c r="J132" s="2090">
        <v>3210000</v>
      </c>
      <c r="K132" s="2088">
        <v>3402600</v>
      </c>
      <c r="L132" s="2106">
        <v>3606756</v>
      </c>
      <c r="M132" s="247"/>
      <c r="N132" s="247"/>
      <c r="O132" s="247"/>
      <c r="P132" s="247"/>
    </row>
    <row r="133" spans="1:16" ht="11.25" customHeight="1" x14ac:dyDescent="0.25">
      <c r="A133" s="203" t="s">
        <v>658</v>
      </c>
      <c r="B133" s="171"/>
      <c r="C133" s="2088">
        <v>1817327.76</v>
      </c>
      <c r="D133" s="2088">
        <v>2936651</v>
      </c>
      <c r="E133" s="2106">
        <v>2049682</v>
      </c>
      <c r="F133" s="2107">
        <v>2810600</v>
      </c>
      <c r="G133" s="2088">
        <v>4010600</v>
      </c>
      <c r="H133" s="2106">
        <v>4010600</v>
      </c>
      <c r="I133" s="2108">
        <v>4010600</v>
      </c>
      <c r="J133" s="2090">
        <v>4291342</v>
      </c>
      <c r="K133" s="2088">
        <v>4548822.5199999996</v>
      </c>
      <c r="L133" s="2106">
        <v>4821751.8711999999</v>
      </c>
      <c r="M133" s="247"/>
      <c r="N133" s="247"/>
      <c r="O133" s="247"/>
      <c r="P133" s="247"/>
    </row>
    <row r="134" spans="1:16" ht="11.25" customHeight="1" x14ac:dyDescent="0.25">
      <c r="A134" s="68" t="s">
        <v>456</v>
      </c>
      <c r="B134" s="171">
        <v>3</v>
      </c>
      <c r="C134" s="2088">
        <v>23551411</v>
      </c>
      <c r="D134" s="2088">
        <v>24870081</v>
      </c>
      <c r="E134" s="2106">
        <v>26214215</v>
      </c>
      <c r="F134" s="2107">
        <v>132574628.23999999</v>
      </c>
      <c r="G134" s="2088">
        <v>126114580.42</v>
      </c>
      <c r="H134" s="2088">
        <v>126114580.42</v>
      </c>
      <c r="I134" s="2088">
        <v>126114580.42</v>
      </c>
      <c r="J134" s="2090">
        <v>125473605.205</v>
      </c>
      <c r="K134" s="2088">
        <v>131386921.927</v>
      </c>
      <c r="L134" s="2106">
        <v>140153696.30899999</v>
      </c>
      <c r="M134" s="247"/>
      <c r="N134" s="247"/>
      <c r="O134" s="247"/>
      <c r="P134" s="247"/>
    </row>
    <row r="135" spans="1:16" ht="11.25" customHeight="1" x14ac:dyDescent="0.25">
      <c r="A135" s="2152" t="s">
        <v>1795</v>
      </c>
      <c r="B135" s="171"/>
      <c r="C135" s="2088"/>
      <c r="D135" s="2088"/>
      <c r="E135" s="2106"/>
      <c r="F135" s="2107"/>
      <c r="G135" s="2088"/>
      <c r="H135" s="2106"/>
      <c r="I135" s="2108"/>
      <c r="J135" s="2090"/>
      <c r="K135" s="2088"/>
      <c r="L135" s="2106"/>
      <c r="M135" s="247"/>
      <c r="N135" s="247"/>
      <c r="O135" s="247"/>
      <c r="P135" s="247"/>
    </row>
    <row r="136" spans="1:16" ht="11.25" customHeight="1" x14ac:dyDescent="0.25">
      <c r="A136" s="2152"/>
      <c r="B136" s="171"/>
      <c r="C136" s="2088"/>
      <c r="D136" s="2088"/>
      <c r="E136" s="2106"/>
      <c r="F136" s="2107"/>
      <c r="G136" s="2088"/>
      <c r="H136" s="2106"/>
      <c r="I136" s="2108"/>
      <c r="J136" s="2090"/>
      <c r="K136" s="2088"/>
      <c r="L136" s="2106"/>
      <c r="M136" s="247"/>
      <c r="N136" s="247"/>
      <c r="O136" s="247"/>
      <c r="P136" s="247"/>
    </row>
    <row r="137" spans="1:16" ht="11.25" customHeight="1" x14ac:dyDescent="0.25">
      <c r="A137" s="2152"/>
      <c r="B137" s="171"/>
      <c r="C137" s="2088"/>
      <c r="D137" s="2088"/>
      <c r="E137" s="2106"/>
      <c r="F137" s="2107"/>
      <c r="G137" s="2088"/>
      <c r="H137" s="2106"/>
      <c r="I137" s="2108"/>
      <c r="J137" s="2090"/>
      <c r="K137" s="2088"/>
      <c r="L137" s="2106"/>
      <c r="M137" s="247"/>
      <c r="N137" s="247"/>
      <c r="O137" s="247"/>
      <c r="P137" s="247"/>
    </row>
    <row r="138" spans="1:16" ht="11.25" customHeight="1" x14ac:dyDescent="0.25">
      <c r="A138" s="2152"/>
      <c r="B138" s="171"/>
      <c r="C138" s="2088"/>
      <c r="D138" s="2088"/>
      <c r="E138" s="2106"/>
      <c r="F138" s="2107"/>
      <c r="G138" s="2088"/>
      <c r="H138" s="2106"/>
      <c r="I138" s="2108"/>
      <c r="J138" s="2090"/>
      <c r="K138" s="2088"/>
      <c r="L138" s="2106"/>
      <c r="M138" s="247"/>
      <c r="N138" s="247"/>
      <c r="O138" s="247"/>
      <c r="P138" s="247"/>
    </row>
    <row r="139" spans="1:16" ht="11.25" customHeight="1" x14ac:dyDescent="0.25">
      <c r="A139" s="2152"/>
      <c r="B139" s="171"/>
      <c r="C139" s="2088"/>
      <c r="D139" s="2088"/>
      <c r="E139" s="2106"/>
      <c r="F139" s="2107"/>
      <c r="G139" s="2088"/>
      <c r="H139" s="2106"/>
      <c r="I139" s="2108"/>
      <c r="J139" s="2090"/>
      <c r="K139" s="2088"/>
      <c r="L139" s="2106"/>
      <c r="M139" s="247"/>
      <c r="N139" s="247"/>
      <c r="O139" s="247"/>
      <c r="P139" s="247"/>
    </row>
    <row r="140" spans="1:16" ht="11.25" customHeight="1" x14ac:dyDescent="0.25">
      <c r="A140" s="2152"/>
      <c r="B140" s="171"/>
      <c r="C140" s="2088"/>
      <c r="D140" s="2088"/>
      <c r="E140" s="2106"/>
      <c r="F140" s="2107"/>
      <c r="G140" s="2088"/>
      <c r="H140" s="2106"/>
      <c r="I140" s="2108"/>
      <c r="J140" s="2090"/>
      <c r="K140" s="2088"/>
      <c r="L140" s="2106"/>
      <c r="M140" s="247"/>
      <c r="N140" s="247"/>
      <c r="O140" s="247"/>
      <c r="P140" s="247"/>
    </row>
    <row r="141" spans="1:16" ht="11.25" customHeight="1" x14ac:dyDescent="0.25">
      <c r="A141" s="2152"/>
      <c r="B141" s="171"/>
      <c r="C141" s="2088"/>
      <c r="D141" s="2088"/>
      <c r="E141" s="2106"/>
      <c r="F141" s="2107"/>
      <c r="G141" s="2088"/>
      <c r="H141" s="2106"/>
      <c r="I141" s="2108"/>
      <c r="J141" s="2090"/>
      <c r="K141" s="2088"/>
      <c r="L141" s="2106"/>
      <c r="M141" s="247"/>
      <c r="N141" s="247"/>
      <c r="O141" s="247"/>
      <c r="P141" s="247"/>
    </row>
    <row r="142" spans="1:16" ht="11.25" customHeight="1" x14ac:dyDescent="0.25">
      <c r="A142" s="2152"/>
      <c r="B142" s="171"/>
      <c r="C142" s="2088"/>
      <c r="D142" s="2088"/>
      <c r="E142" s="2106"/>
      <c r="F142" s="2107"/>
      <c r="G142" s="2088"/>
      <c r="H142" s="2106"/>
      <c r="I142" s="2108"/>
      <c r="J142" s="2090"/>
      <c r="K142" s="2088"/>
      <c r="L142" s="2106"/>
      <c r="M142" s="247"/>
      <c r="N142" s="247"/>
      <c r="O142" s="247"/>
      <c r="P142" s="247"/>
    </row>
    <row r="143" spans="1:16" ht="11.25" customHeight="1" x14ac:dyDescent="0.25">
      <c r="A143" s="2152"/>
      <c r="B143" s="171"/>
      <c r="C143" s="2088"/>
      <c r="D143" s="2088"/>
      <c r="E143" s="2106"/>
      <c r="F143" s="2107"/>
      <c r="G143" s="2088"/>
      <c r="H143" s="2106"/>
      <c r="I143" s="2108"/>
      <c r="J143" s="2090"/>
      <c r="K143" s="2088"/>
      <c r="L143" s="2106"/>
      <c r="M143" s="247"/>
      <c r="N143" s="247"/>
      <c r="O143" s="247"/>
      <c r="P143" s="247"/>
    </row>
    <row r="144" spans="1:16" ht="11.25" customHeight="1" x14ac:dyDescent="0.25">
      <c r="A144" s="2152"/>
      <c r="B144" s="171"/>
      <c r="C144" s="2088"/>
      <c r="D144" s="2088"/>
      <c r="E144" s="2106"/>
      <c r="F144" s="2107"/>
      <c r="G144" s="2088"/>
      <c r="H144" s="2106"/>
      <c r="I144" s="2108"/>
      <c r="J144" s="2090"/>
      <c r="K144" s="2088"/>
      <c r="L144" s="2106"/>
      <c r="M144" s="247"/>
      <c r="N144" s="247"/>
      <c r="O144" s="247"/>
      <c r="P144" s="247"/>
    </row>
    <row r="145" spans="1:16" ht="11.25" customHeight="1" x14ac:dyDescent="0.25">
      <c r="A145" s="2152"/>
      <c r="B145" s="171"/>
      <c r="C145" s="2088"/>
      <c r="D145" s="2088"/>
      <c r="E145" s="2106"/>
      <c r="F145" s="2107"/>
      <c r="G145" s="2088"/>
      <c r="H145" s="2106"/>
      <c r="I145" s="2108"/>
      <c r="J145" s="2090"/>
      <c r="K145" s="2088"/>
      <c r="L145" s="2106"/>
      <c r="M145" s="247"/>
      <c r="N145" s="247"/>
      <c r="O145" s="247"/>
      <c r="P145" s="247"/>
    </row>
    <row r="146" spans="1:16" ht="11.25" customHeight="1" x14ac:dyDescent="0.25">
      <c r="A146" s="2152"/>
      <c r="B146" s="171"/>
      <c r="C146" s="2088"/>
      <c r="D146" s="2088"/>
      <c r="E146" s="2106"/>
      <c r="F146" s="2107"/>
      <c r="G146" s="2088"/>
      <c r="H146" s="2106"/>
      <c r="I146" s="2108"/>
      <c r="J146" s="2090"/>
      <c r="K146" s="2088"/>
      <c r="L146" s="2106"/>
      <c r="M146" s="247"/>
      <c r="N146" s="247"/>
      <c r="O146" s="247"/>
      <c r="P146" s="247"/>
    </row>
    <row r="147" spans="1:16" ht="11.25" customHeight="1" x14ac:dyDescent="0.25">
      <c r="A147" s="2152"/>
      <c r="B147" s="171"/>
      <c r="C147" s="2088"/>
      <c r="D147" s="2088"/>
      <c r="E147" s="2106"/>
      <c r="F147" s="2107"/>
      <c r="G147" s="2088"/>
      <c r="H147" s="2106"/>
      <c r="I147" s="2108"/>
      <c r="J147" s="2090"/>
      <c r="K147" s="2088"/>
      <c r="L147" s="2106"/>
      <c r="M147" s="247"/>
      <c r="N147" s="247"/>
      <c r="O147" s="247"/>
      <c r="P147" s="247"/>
    </row>
    <row r="148" spans="1:16" ht="11.25" customHeight="1" x14ac:dyDescent="0.25">
      <c r="A148" s="2152"/>
      <c r="B148" s="171"/>
      <c r="C148" s="2088"/>
      <c r="D148" s="2088"/>
      <c r="E148" s="2106"/>
      <c r="F148" s="2107"/>
      <c r="G148" s="2088"/>
      <c r="H148" s="2106"/>
      <c r="I148" s="2108"/>
      <c r="J148" s="2090"/>
      <c r="K148" s="2088"/>
      <c r="L148" s="2106"/>
      <c r="M148" s="247"/>
      <c r="N148" s="247"/>
      <c r="O148" s="247"/>
      <c r="P148" s="247"/>
    </row>
    <row r="149" spans="1:16" ht="11.25" customHeight="1" x14ac:dyDescent="0.25">
      <c r="A149" s="2152"/>
      <c r="B149" s="171"/>
      <c r="C149" s="2088"/>
      <c r="D149" s="2088"/>
      <c r="E149" s="2106"/>
      <c r="F149" s="2107"/>
      <c r="G149" s="2088"/>
      <c r="H149" s="2106"/>
      <c r="I149" s="2108"/>
      <c r="J149" s="2090"/>
      <c r="K149" s="2088"/>
      <c r="L149" s="2106"/>
      <c r="M149" s="247"/>
      <c r="N149" s="247"/>
      <c r="O149" s="247"/>
      <c r="P149" s="247"/>
    </row>
    <row r="150" spans="1:16" ht="11.25" customHeight="1" x14ac:dyDescent="0.25">
      <c r="A150" s="2152"/>
      <c r="B150" s="171"/>
      <c r="C150" s="2088"/>
      <c r="D150" s="2088"/>
      <c r="E150" s="2106"/>
      <c r="F150" s="2107"/>
      <c r="G150" s="2088"/>
      <c r="H150" s="2106"/>
      <c r="I150" s="2108"/>
      <c r="J150" s="2090"/>
      <c r="K150" s="2088"/>
      <c r="L150" s="2106"/>
      <c r="M150" s="247"/>
      <c r="N150" s="247"/>
      <c r="O150" s="247"/>
      <c r="P150" s="247"/>
    </row>
    <row r="151" spans="1:16" ht="11.25" customHeight="1" x14ac:dyDescent="0.25">
      <c r="A151" s="2153"/>
      <c r="B151" s="171"/>
      <c r="C151" s="2088"/>
      <c r="D151" s="2088"/>
      <c r="E151" s="2106"/>
      <c r="F151" s="2107"/>
      <c r="G151" s="2088"/>
      <c r="H151" s="2106"/>
      <c r="I151" s="2108"/>
      <c r="J151" s="2090"/>
      <c r="K151" s="2088"/>
      <c r="L151" s="2106"/>
      <c r="M151" s="247"/>
      <c r="N151" s="247"/>
      <c r="O151" s="247"/>
      <c r="P151" s="247"/>
    </row>
    <row r="152" spans="1:16" ht="11.25" customHeight="1" x14ac:dyDescent="0.25">
      <c r="A152" s="2153"/>
      <c r="B152" s="171"/>
      <c r="C152" s="2088"/>
      <c r="D152" s="2088"/>
      <c r="E152" s="2106"/>
      <c r="F152" s="2107"/>
      <c r="G152" s="2088"/>
      <c r="H152" s="2106"/>
      <c r="I152" s="2108"/>
      <c r="J152" s="2090"/>
      <c r="K152" s="2088"/>
      <c r="L152" s="2106"/>
      <c r="M152" s="247"/>
      <c r="N152" s="247"/>
      <c r="O152" s="247"/>
      <c r="P152" s="247"/>
    </row>
    <row r="153" spans="1:16" ht="11.25" customHeight="1" x14ac:dyDescent="0.25">
      <c r="A153" s="2153"/>
      <c r="B153" s="171"/>
      <c r="C153" s="2088"/>
      <c r="D153" s="2088"/>
      <c r="E153" s="2106"/>
      <c r="F153" s="2107"/>
      <c r="G153" s="2088"/>
      <c r="H153" s="2106"/>
      <c r="I153" s="2108"/>
      <c r="J153" s="2090"/>
      <c r="K153" s="2088"/>
      <c r="L153" s="2106"/>
      <c r="M153" s="247"/>
      <c r="N153" s="247"/>
      <c r="O153" s="247"/>
      <c r="P153" s="247"/>
    </row>
    <row r="154" spans="1:16" ht="11.25" customHeight="1" x14ac:dyDescent="0.25">
      <c r="A154" s="2153"/>
      <c r="B154" s="171"/>
      <c r="C154" s="2088"/>
      <c r="D154" s="2088"/>
      <c r="E154" s="2106"/>
      <c r="F154" s="2107"/>
      <c r="G154" s="2088"/>
      <c r="H154" s="2106"/>
      <c r="I154" s="2108"/>
      <c r="J154" s="2090"/>
      <c r="K154" s="2088"/>
      <c r="L154" s="2106"/>
      <c r="M154" s="247"/>
      <c r="N154" s="247"/>
      <c r="O154" s="247"/>
      <c r="P154" s="247"/>
    </row>
    <row r="155" spans="1:16" ht="11.25" customHeight="1" x14ac:dyDescent="0.25">
      <c r="A155" s="2153"/>
      <c r="B155" s="171"/>
      <c r="C155" s="2088"/>
      <c r="D155" s="2088"/>
      <c r="E155" s="2106"/>
      <c r="F155" s="2107"/>
      <c r="G155" s="2088"/>
      <c r="H155" s="2106"/>
      <c r="I155" s="2108"/>
      <c r="J155" s="2090"/>
      <c r="K155" s="2088"/>
      <c r="L155" s="2106"/>
      <c r="M155" s="247"/>
      <c r="N155" s="247"/>
      <c r="O155" s="247"/>
      <c r="P155" s="247"/>
    </row>
    <row r="156" spans="1:16" ht="11.25" customHeight="1" x14ac:dyDescent="0.25">
      <c r="A156" s="2153"/>
      <c r="B156" s="171"/>
      <c r="C156" s="2088"/>
      <c r="D156" s="2088"/>
      <c r="E156" s="2106"/>
      <c r="F156" s="2107"/>
      <c r="G156" s="2088"/>
      <c r="H156" s="2106"/>
      <c r="I156" s="2108"/>
      <c r="J156" s="2090"/>
      <c r="K156" s="2088"/>
      <c r="L156" s="2106"/>
      <c r="M156" s="247"/>
      <c r="N156" s="247"/>
      <c r="O156" s="247"/>
      <c r="P156" s="247"/>
    </row>
    <row r="157" spans="1:16" ht="11.25" customHeight="1" x14ac:dyDescent="0.25">
      <c r="A157" s="224" t="s">
        <v>723</v>
      </c>
      <c r="B157" s="225">
        <v>1</v>
      </c>
      <c r="C157" s="108">
        <f>SUM(C130:C156)</f>
        <v>35769651.939999998</v>
      </c>
      <c r="D157" s="108">
        <f t="shared" ref="D157:L157" si="14">SUM(D130:D156)</f>
        <v>28920952</v>
      </c>
      <c r="E157" s="106">
        <f t="shared" si="14"/>
        <v>31253065</v>
      </c>
      <c r="F157" s="107">
        <f t="shared" si="14"/>
        <v>135385228.24000001</v>
      </c>
      <c r="G157" s="108">
        <f t="shared" si="14"/>
        <v>133125180.42</v>
      </c>
      <c r="H157" s="106">
        <f t="shared" si="14"/>
        <v>133125180.42</v>
      </c>
      <c r="I157" s="109">
        <f t="shared" si="14"/>
        <v>133125180.42</v>
      </c>
      <c r="J157" s="110">
        <f t="shared" si="14"/>
        <v>132974947.205</v>
      </c>
      <c r="K157" s="108">
        <f t="shared" si="14"/>
        <v>139338344.447</v>
      </c>
      <c r="L157" s="106">
        <f t="shared" si="14"/>
        <v>148582204.18019998</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40" t="s">
        <v>2238</v>
      </c>
      <c r="B159" s="1558">
        <v>8</v>
      </c>
      <c r="C159" s="1541"/>
      <c r="D159" s="1446"/>
      <c r="E159" s="432"/>
      <c r="F159" s="1541"/>
      <c r="G159" s="1446"/>
      <c r="H159" s="432"/>
      <c r="I159" s="1436"/>
      <c r="J159" s="1541"/>
      <c r="K159" s="1446"/>
      <c r="L159" s="432"/>
      <c r="M159" s="247"/>
      <c r="N159" s="247"/>
      <c r="O159" s="247"/>
      <c r="P159" s="247"/>
    </row>
    <row r="160" spans="1:16" x14ac:dyDescent="0.25">
      <c r="A160" s="68" t="s">
        <v>452</v>
      </c>
      <c r="B160" s="1450"/>
      <c r="C160" s="2092"/>
      <c r="D160" s="2088"/>
      <c r="E160" s="2091"/>
      <c r="F160" s="2092"/>
      <c r="G160" s="2088"/>
      <c r="H160" s="2091"/>
      <c r="I160" s="2109"/>
      <c r="J160" s="2092"/>
      <c r="K160" s="2088"/>
      <c r="L160" s="2091"/>
      <c r="M160" s="247"/>
      <c r="N160" s="247"/>
      <c r="O160" s="247"/>
      <c r="P160" s="247"/>
    </row>
    <row r="161" spans="1:16" s="586" customFormat="1" ht="11.25" customHeight="1" x14ac:dyDescent="0.25">
      <c r="A161" s="68" t="s">
        <v>1460</v>
      </c>
      <c r="B161" s="1450"/>
      <c r="C161" s="2092">
        <v>9743412</v>
      </c>
      <c r="D161" s="2088">
        <v>9180043</v>
      </c>
      <c r="E161" s="2091">
        <v>7874188</v>
      </c>
      <c r="F161" s="2092">
        <v>13545812.27</v>
      </c>
      <c r="G161" s="2088">
        <v>12729542.210000001</v>
      </c>
      <c r="H161" s="2088">
        <v>12729542.210000001</v>
      </c>
      <c r="I161" s="2088">
        <v>12729542.210000001</v>
      </c>
      <c r="J161" s="2092">
        <v>13093442.809999999</v>
      </c>
      <c r="K161" s="2088">
        <v>13879049.390000001</v>
      </c>
      <c r="L161" s="2091">
        <v>14711792.34</v>
      </c>
      <c r="M161" s="946"/>
      <c r="N161" s="946"/>
      <c r="O161" s="946"/>
      <c r="P161" s="946"/>
    </row>
    <row r="162" spans="1:16" s="586" customFormat="1" ht="11.25" customHeight="1" x14ac:dyDescent="0.25">
      <c r="A162" s="68" t="s">
        <v>1842</v>
      </c>
      <c r="B162" s="1450"/>
      <c r="C162" s="2092"/>
      <c r="D162" s="2088"/>
      <c r="E162" s="2091"/>
      <c r="F162" s="2092"/>
      <c r="G162" s="2088"/>
      <c r="H162" s="2091"/>
      <c r="I162" s="2109"/>
      <c r="J162" s="2092"/>
      <c r="K162" s="2088"/>
      <c r="L162" s="2091"/>
      <c r="M162" s="946"/>
      <c r="N162" s="946"/>
      <c r="O162" s="946"/>
      <c r="P162" s="946"/>
    </row>
    <row r="163" spans="1:16" s="586" customFormat="1" ht="11.25" customHeight="1" x14ac:dyDescent="0.25">
      <c r="A163" s="68" t="s">
        <v>1843</v>
      </c>
      <c r="B163" s="1450"/>
      <c r="C163" s="2155"/>
      <c r="D163" s="2127"/>
      <c r="E163" s="2128"/>
      <c r="F163" s="2155"/>
      <c r="G163" s="2127"/>
      <c r="H163" s="2128"/>
      <c r="I163" s="2156"/>
      <c r="J163" s="2155"/>
      <c r="K163" s="2127"/>
      <c r="L163" s="2128"/>
      <c r="M163" s="946"/>
      <c r="N163" s="946"/>
      <c r="O163" s="946"/>
      <c r="P163" s="946"/>
    </row>
    <row r="164" spans="1:16" s="586" customFormat="1" ht="11.25" customHeight="1" x14ac:dyDescent="0.25">
      <c r="A164" s="224" t="s">
        <v>1176</v>
      </c>
      <c r="B164" s="1559">
        <v>9</v>
      </c>
      <c r="C164" s="1543">
        <f>SUM(C160:C163)</f>
        <v>9743412</v>
      </c>
      <c r="D164" s="310">
        <f t="shared" ref="D164:L164" si="15">SUM(D160:D163)</f>
        <v>9180043</v>
      </c>
      <c r="E164" s="1542">
        <f t="shared" si="15"/>
        <v>7874188</v>
      </c>
      <c r="F164" s="1543">
        <f t="shared" si="15"/>
        <v>13545812.27</v>
      </c>
      <c r="G164" s="310">
        <f t="shared" si="15"/>
        <v>12729542.210000001</v>
      </c>
      <c r="H164" s="1542">
        <f t="shared" si="15"/>
        <v>12729542.210000001</v>
      </c>
      <c r="I164" s="1544">
        <f t="shared" si="15"/>
        <v>12729542.210000001</v>
      </c>
      <c r="J164" s="1543">
        <f t="shared" si="15"/>
        <v>13093442.809999999</v>
      </c>
      <c r="K164" s="310">
        <f t="shared" si="15"/>
        <v>13879049.390000001</v>
      </c>
      <c r="L164" s="1542">
        <f t="shared" si="15"/>
        <v>14711792.34</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1455</v>
      </c>
      <c r="B166" s="27"/>
      <c r="C166" s="80">
        <f>C164-SA34c!C77</f>
        <v>0</v>
      </c>
      <c r="D166" s="80">
        <f>D164-SA34c!D77</f>
        <v>0</v>
      </c>
      <c r="E166" s="80">
        <f>E164-SA34c!E77</f>
        <v>0</v>
      </c>
      <c r="F166" s="80">
        <f>F164-SA34c!F77</f>
        <v>0</v>
      </c>
      <c r="G166" s="80">
        <f>G164-SA34c!G77</f>
        <v>0</v>
      </c>
      <c r="H166" s="80">
        <f>H164-SA34c!H77</f>
        <v>0</v>
      </c>
      <c r="I166" s="80"/>
      <c r="J166" s="80">
        <f>J164-SA34c!I77</f>
        <v>0</v>
      </c>
      <c r="K166" s="80">
        <f>K164-SA34c!J77</f>
        <v>0</v>
      </c>
      <c r="L166" s="80">
        <f>L164-SA34c!K77</f>
        <v>0</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724</v>
      </c>
      <c r="B170" s="897"/>
      <c r="C170" s="900"/>
      <c r="D170" s="900"/>
      <c r="E170" s="901"/>
      <c r="F170" s="901"/>
      <c r="G170" s="901"/>
      <c r="H170" s="901"/>
      <c r="I170" s="901"/>
      <c r="J170" s="901"/>
      <c r="K170" s="901"/>
      <c r="L170" s="901"/>
    </row>
    <row r="171" spans="1:16" x14ac:dyDescent="0.25">
      <c r="A171" s="1052" t="s">
        <v>1023</v>
      </c>
      <c r="B171" s="897"/>
      <c r="C171" s="900"/>
      <c r="D171" s="900"/>
      <c r="E171" s="901"/>
      <c r="F171" s="901"/>
      <c r="G171" s="901"/>
      <c r="H171" s="901"/>
      <c r="I171" s="901"/>
      <c r="J171" s="901"/>
      <c r="K171" s="901"/>
      <c r="L171" s="901"/>
    </row>
    <row r="172" spans="1:16" x14ac:dyDescent="0.25">
      <c r="A172" s="1052" t="s">
        <v>726</v>
      </c>
      <c r="B172" s="897"/>
      <c r="C172" s="900"/>
      <c r="D172" s="900"/>
      <c r="E172" s="901"/>
      <c r="F172" s="901"/>
      <c r="G172" s="901"/>
      <c r="H172" s="901"/>
      <c r="I172" s="901"/>
      <c r="J172" s="901"/>
      <c r="K172" s="901"/>
      <c r="L172" s="901"/>
    </row>
    <row r="173" spans="1:16" ht="11.25" customHeight="1" x14ac:dyDescent="0.25">
      <c r="A173" s="1052" t="s">
        <v>725</v>
      </c>
      <c r="B173" s="897"/>
      <c r="C173" s="900"/>
      <c r="D173" s="900"/>
      <c r="E173" s="901"/>
      <c r="F173" s="901"/>
      <c r="G173" s="901"/>
      <c r="H173" s="901"/>
      <c r="I173" s="901"/>
      <c r="J173" s="901"/>
      <c r="K173" s="901"/>
      <c r="L173" s="901"/>
    </row>
    <row r="174" spans="1:16" ht="11.25" customHeight="1" x14ac:dyDescent="0.25">
      <c r="A174" s="1052" t="s">
        <v>1233</v>
      </c>
      <c r="B174" s="897"/>
      <c r="C174" s="900"/>
      <c r="D174" s="900"/>
      <c r="E174" s="901"/>
      <c r="F174" s="901"/>
      <c r="G174" s="901"/>
      <c r="H174" s="901"/>
      <c r="I174" s="901"/>
      <c r="J174" s="901"/>
      <c r="K174" s="901"/>
      <c r="L174" s="901"/>
    </row>
    <row r="175" spans="1:16" ht="11.25" customHeight="1" x14ac:dyDescent="0.25">
      <c r="A175" s="1052" t="s">
        <v>1606</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1845</v>
      </c>
    </row>
    <row r="178" spans="1:2" ht="11.25" customHeight="1" x14ac:dyDescent="0.25">
      <c r="A178" s="27" t="s">
        <v>1846</v>
      </c>
    </row>
    <row r="179" spans="1:2" ht="11.25" customHeight="1" x14ac:dyDescent="0.25">
      <c r="A179" s="27" t="s">
        <v>2109</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4" activePane="bottomRight" state="frozen"/>
      <selection pane="topRight"/>
      <selection pane="bottomLeft"/>
      <selection pane="bottomRight" activeCell="Z17" sqref="Z17"/>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LIM471 Ephraim Mogale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84" t="str">
        <f>'A3-FinPerf V'!A5</f>
        <v>Vote 1 - EXECUTIVE AND COUNCIL</v>
      </c>
      <c r="D2" s="2684" t="str">
        <f>'A3-FinPerf V'!A6</f>
        <v>Vote 2 - MUNICIPAL MANAGER</v>
      </c>
      <c r="E2" s="2684" t="str">
        <f>'A3-FinPerf V'!A7</f>
        <v>Vote 3 - FINANCE</v>
      </c>
      <c r="F2" s="2684" t="str">
        <f>'A3-FinPerf V'!A8</f>
        <v>Vote 4 - CORPORATE SERVICES MANAGEMENT</v>
      </c>
      <c r="G2" s="2684" t="str">
        <f>'A3-FinPerf V'!A9</f>
        <v>Vote 5 - COMMUNITY SERVICES MANAGEMENT</v>
      </c>
      <c r="H2" s="2684" t="str">
        <f>'A3-FinPerf V'!A10</f>
        <v>Vote 6 - TECHNICAL SERVICES</v>
      </c>
      <c r="I2" s="2684" t="str">
        <f>'A3-FinPerf V'!A11</f>
        <v xml:space="preserve">Vote 7 - </v>
      </c>
      <c r="J2" s="2684" t="str">
        <f>'A3-FinPerf V'!A12</f>
        <v>Vote 8 - [NAME OF VOTE 8]</v>
      </c>
      <c r="K2" s="2684" t="str">
        <f>'A3-FinPerf V'!A13</f>
        <v>Vote 9 - [NAME OF VOTE 9]</v>
      </c>
      <c r="L2" s="2684" t="str">
        <f>'A3-FinPerf V'!A14</f>
        <v>Vote 10 - [NAME OF VOTE 10]</v>
      </c>
      <c r="M2" s="2684" t="str">
        <f>'A3-FinPerf V'!A15</f>
        <v>Vote 11 - [NAME OF VOTE 11]</v>
      </c>
      <c r="N2" s="2684" t="str">
        <f>'A3-FinPerf V'!A16</f>
        <v>Vote 12 - [NAME OF VOTE 12]</v>
      </c>
      <c r="O2" s="2684" t="str">
        <f>'A3-FinPerf V'!A17</f>
        <v>Vote 13 - [NAME OF VOTE 13]</v>
      </c>
      <c r="P2" s="2684" t="str">
        <f>'A3-FinPerf V'!A18</f>
        <v>Vote 14 - [NAME OF VOTE 14]</v>
      </c>
      <c r="Q2" s="2684" t="str">
        <f>'A3-FinPerf V'!A19</f>
        <v>Vote 15 - [NAME OF VOTE 15]</v>
      </c>
      <c r="R2" s="2686" t="s">
        <v>729</v>
      </c>
      <c r="S2" s="1407"/>
    </row>
    <row r="3" spans="1:19" x14ac:dyDescent="0.25">
      <c r="A3" s="58" t="s">
        <v>625</v>
      </c>
      <c r="B3" s="168">
        <v>1</v>
      </c>
      <c r="C3" s="2685" t="s">
        <v>970</v>
      </c>
      <c r="D3" s="2685" t="s">
        <v>970</v>
      </c>
      <c r="E3" s="2685" t="s">
        <v>970</v>
      </c>
      <c r="F3" s="2685" t="s">
        <v>970</v>
      </c>
      <c r="G3" s="2685" t="s">
        <v>970</v>
      </c>
      <c r="H3" s="2685" t="s">
        <v>970</v>
      </c>
      <c r="I3" s="2685"/>
      <c r="J3" s="2685"/>
      <c r="K3" s="2685"/>
      <c r="L3" s="2685"/>
      <c r="M3" s="2685"/>
      <c r="N3" s="2685"/>
      <c r="O3" s="2685"/>
      <c r="P3" s="2685"/>
      <c r="Q3" s="2685" t="s">
        <v>970</v>
      </c>
      <c r="R3" s="2687" t="s">
        <v>970</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2088"/>
      <c r="D5" s="2088"/>
      <c r="E5" s="2088">
        <v>28372336.459000003</v>
      </c>
      <c r="F5" s="2088"/>
      <c r="G5" s="2088"/>
      <c r="H5" s="2088"/>
      <c r="I5" s="2088"/>
      <c r="J5" s="2088"/>
      <c r="K5" s="2088"/>
      <c r="L5" s="2088"/>
      <c r="M5" s="2088"/>
      <c r="N5" s="2088"/>
      <c r="O5" s="2088"/>
      <c r="P5" s="2088"/>
      <c r="Q5" s="2088"/>
      <c r="R5" s="298">
        <f>SUM(C5:Q5)</f>
        <v>28372336.459000003</v>
      </c>
    </row>
    <row r="6" spans="1:19" ht="11.25" customHeight="1" x14ac:dyDescent="0.25">
      <c r="A6" s="203" t="str">
        <f>'A4-FinPerf RE'!A6</f>
        <v>Property rates - penalties &amp; collection charges</v>
      </c>
      <c r="B6" s="172"/>
      <c r="C6" s="2088"/>
      <c r="D6" s="2088"/>
      <c r="E6" s="2088"/>
      <c r="F6" s="2088"/>
      <c r="G6" s="2088"/>
      <c r="H6" s="2088"/>
      <c r="I6" s="2088"/>
      <c r="J6" s="2088"/>
      <c r="K6" s="2088"/>
      <c r="L6" s="2088"/>
      <c r="M6" s="2088"/>
      <c r="N6" s="2088"/>
      <c r="O6" s="2088"/>
      <c r="P6" s="2088"/>
      <c r="Q6" s="2088"/>
      <c r="R6" s="298">
        <f t="shared" ref="R6:R21" si="0">SUM(C6:Q6)</f>
        <v>0</v>
      </c>
    </row>
    <row r="7" spans="1:19" ht="11.25" customHeight="1" x14ac:dyDescent="0.25">
      <c r="A7" s="203" t="str">
        <f>'A4-FinPerf RE'!A7</f>
        <v>Service charges - electricity revenue</v>
      </c>
      <c r="B7" s="172"/>
      <c r="C7" s="2088"/>
      <c r="D7" s="2088"/>
      <c r="E7" s="2088"/>
      <c r="F7" s="2088"/>
      <c r="G7" s="2088"/>
      <c r="H7" s="2088">
        <v>54314659.176520005</v>
      </c>
      <c r="I7" s="2088"/>
      <c r="J7" s="2088"/>
      <c r="K7" s="2088"/>
      <c r="L7" s="2088"/>
      <c r="M7" s="2088"/>
      <c r="N7" s="2088"/>
      <c r="O7" s="2088"/>
      <c r="P7" s="2088"/>
      <c r="Q7" s="2088"/>
      <c r="R7" s="298">
        <f t="shared" si="0"/>
        <v>54314659.176520005</v>
      </c>
    </row>
    <row r="8" spans="1:19" ht="11.25" customHeight="1" x14ac:dyDescent="0.25">
      <c r="A8" s="203" t="str">
        <f>'A4-FinPerf RE'!A8</f>
        <v>Service charges - water revenue</v>
      </c>
      <c r="B8" s="172"/>
      <c r="C8" s="2088"/>
      <c r="D8" s="2088"/>
      <c r="E8" s="2088"/>
      <c r="F8" s="2088"/>
      <c r="G8" s="2088"/>
      <c r="H8" s="2088"/>
      <c r="I8" s="2088"/>
      <c r="J8" s="2088"/>
      <c r="K8" s="2088"/>
      <c r="L8" s="2088"/>
      <c r="M8" s="2088"/>
      <c r="N8" s="2088"/>
      <c r="O8" s="2088"/>
      <c r="P8" s="2088"/>
      <c r="Q8" s="2088"/>
      <c r="R8" s="298">
        <f t="shared" si="0"/>
        <v>0</v>
      </c>
    </row>
    <row r="9" spans="1:19" ht="11.25" customHeight="1" x14ac:dyDescent="0.25">
      <c r="A9" s="203" t="str">
        <f>'A4-FinPerf RE'!A9</f>
        <v>Service charges - sanitation revenue</v>
      </c>
      <c r="B9" s="172"/>
      <c r="C9" s="2088"/>
      <c r="D9" s="2088"/>
      <c r="E9" s="2088"/>
      <c r="F9" s="2088"/>
      <c r="G9" s="2088"/>
      <c r="H9" s="2088"/>
      <c r="I9" s="2088"/>
      <c r="J9" s="2088"/>
      <c r="K9" s="2088"/>
      <c r="L9" s="2088"/>
      <c r="M9" s="2088"/>
      <c r="N9" s="2088"/>
      <c r="O9" s="2088"/>
      <c r="P9" s="2088"/>
      <c r="Q9" s="2088"/>
      <c r="R9" s="298">
        <f t="shared" si="0"/>
        <v>0</v>
      </c>
    </row>
    <row r="10" spans="1:19" ht="11.25" customHeight="1" x14ac:dyDescent="0.25">
      <c r="A10" s="203" t="str">
        <f>'A4-FinPerf RE'!A10</f>
        <v>Service charges - refuse revenue</v>
      </c>
      <c r="B10" s="172"/>
      <c r="C10" s="2088"/>
      <c r="D10" s="2088"/>
      <c r="E10" s="2088"/>
      <c r="F10" s="2088"/>
      <c r="G10" s="2088">
        <v>4407522.4954000013</v>
      </c>
      <c r="H10" s="2088"/>
      <c r="I10" s="2088"/>
      <c r="J10" s="2088"/>
      <c r="K10" s="2088"/>
      <c r="L10" s="2088"/>
      <c r="M10" s="2088"/>
      <c r="N10" s="2088"/>
      <c r="O10" s="2088"/>
      <c r="P10" s="2088"/>
      <c r="Q10" s="2088"/>
      <c r="R10" s="298">
        <f t="shared" si="0"/>
        <v>4407522.4954000013</v>
      </c>
    </row>
    <row r="11" spans="1:19" ht="11.25" customHeight="1" x14ac:dyDescent="0.25">
      <c r="A11" s="203" t="str">
        <f>'A4-FinPerf RE'!A11</f>
        <v>Service charges - other</v>
      </c>
      <c r="B11" s="172"/>
      <c r="C11" s="2088"/>
      <c r="D11" s="2088"/>
      <c r="E11" s="2088"/>
      <c r="F11" s="2088"/>
      <c r="G11" s="2088"/>
      <c r="H11" s="2088"/>
      <c r="I11" s="2088"/>
      <c r="J11" s="2088"/>
      <c r="K11" s="2088"/>
      <c r="L11" s="2088"/>
      <c r="M11" s="2088"/>
      <c r="N11" s="2088"/>
      <c r="O11" s="2088"/>
      <c r="P11" s="2088"/>
      <c r="Q11" s="2088"/>
      <c r="R11" s="298">
        <f t="shared" si="0"/>
        <v>0</v>
      </c>
    </row>
    <row r="12" spans="1:19" ht="11.25" customHeight="1" x14ac:dyDescent="0.25">
      <c r="A12" s="203" t="str">
        <f>'A4-FinPerf RE'!A12</f>
        <v>Rental of facilities and equipment</v>
      </c>
      <c r="B12" s="172"/>
      <c r="C12" s="2088"/>
      <c r="D12" s="2088"/>
      <c r="E12" s="2088"/>
      <c r="F12" s="2088"/>
      <c r="G12" s="2088"/>
      <c r="H12" s="2088"/>
      <c r="I12" s="2088"/>
      <c r="J12" s="2088">
        <v>209275.69400000002</v>
      </c>
      <c r="K12" s="2088"/>
      <c r="L12" s="2088"/>
      <c r="M12" s="2088"/>
      <c r="N12" s="2088"/>
      <c r="O12" s="2088"/>
      <c r="P12" s="2088"/>
      <c r="Q12" s="2088"/>
      <c r="R12" s="298">
        <f t="shared" si="0"/>
        <v>209275.69400000002</v>
      </c>
    </row>
    <row r="13" spans="1:19" ht="11.25" customHeight="1" x14ac:dyDescent="0.25">
      <c r="A13" s="203" t="str">
        <f>'A4-FinPerf RE'!A13</f>
        <v>Interest earned - external investments</v>
      </c>
      <c r="B13" s="172"/>
      <c r="C13" s="2088"/>
      <c r="D13" s="2088"/>
      <c r="E13" s="2088">
        <v>1240600.4680000001</v>
      </c>
      <c r="F13" s="2088"/>
      <c r="G13" s="2088"/>
      <c r="H13" s="2088"/>
      <c r="I13" s="2088"/>
      <c r="J13" s="2088"/>
      <c r="K13" s="2088"/>
      <c r="L13" s="2088"/>
      <c r="M13" s="2088"/>
      <c r="N13" s="2088"/>
      <c r="O13" s="2088"/>
      <c r="P13" s="2088"/>
      <c r="Q13" s="2088"/>
      <c r="R13" s="298">
        <f t="shared" si="0"/>
        <v>1240600.4680000001</v>
      </c>
    </row>
    <row r="14" spans="1:19" ht="11.25" customHeight="1" x14ac:dyDescent="0.25">
      <c r="A14" s="203" t="str">
        <f>'A4-FinPerf RE'!A14</f>
        <v>Interest earned - outstanding debtors</v>
      </c>
      <c r="B14" s="172"/>
      <c r="C14" s="2088"/>
      <c r="D14" s="2088"/>
      <c r="E14" s="2088">
        <v>2375964.56</v>
      </c>
      <c r="F14" s="2088"/>
      <c r="G14" s="2088"/>
      <c r="H14" s="2088"/>
      <c r="I14" s="2088"/>
      <c r="J14" s="2088"/>
      <c r="K14" s="2088"/>
      <c r="L14" s="2088"/>
      <c r="M14" s="2088"/>
      <c r="N14" s="2088"/>
      <c r="O14" s="2088"/>
      <c r="P14" s="2088"/>
      <c r="Q14" s="2088"/>
      <c r="R14" s="298">
        <f t="shared" si="0"/>
        <v>2375964.56</v>
      </c>
    </row>
    <row r="15" spans="1:19" ht="11.25" customHeight="1" x14ac:dyDescent="0.25">
      <c r="A15" s="203" t="str">
        <f>'A4-FinPerf RE'!A15</f>
        <v>Dividends received</v>
      </c>
      <c r="B15" s="172"/>
      <c r="C15" s="2088"/>
      <c r="D15" s="2088"/>
      <c r="E15" s="2088"/>
      <c r="F15" s="2088"/>
      <c r="G15" s="2088"/>
      <c r="H15" s="2088"/>
      <c r="I15" s="2088"/>
      <c r="J15" s="2088"/>
      <c r="K15" s="2088"/>
      <c r="L15" s="2088"/>
      <c r="M15" s="2088"/>
      <c r="N15" s="2088"/>
      <c r="O15" s="2088"/>
      <c r="P15" s="2088"/>
      <c r="Q15" s="2088"/>
      <c r="R15" s="298">
        <f t="shared" si="0"/>
        <v>0</v>
      </c>
    </row>
    <row r="16" spans="1:19" ht="11.25" customHeight="1" x14ac:dyDescent="0.25">
      <c r="A16" s="203" t="str">
        <f>'A4-FinPerf RE'!A16</f>
        <v>Fines</v>
      </c>
      <c r="B16" s="172"/>
      <c r="C16" s="2088"/>
      <c r="D16" s="2088"/>
      <c r="E16" s="2088"/>
      <c r="F16" s="2088"/>
      <c r="G16" s="2088">
        <v>328360.864</v>
      </c>
      <c r="H16" s="2088">
        <v>402858.7058</v>
      </c>
      <c r="I16" s="2088"/>
      <c r="J16" s="2088"/>
      <c r="K16" s="2088"/>
      <c r="L16" s="2088"/>
      <c r="M16" s="2088"/>
      <c r="N16" s="2088"/>
      <c r="O16" s="2088"/>
      <c r="P16" s="2088"/>
      <c r="Q16" s="2088"/>
      <c r="R16" s="298">
        <f t="shared" si="0"/>
        <v>731219.56979999994</v>
      </c>
    </row>
    <row r="17" spans="1:18" ht="11.25" customHeight="1" x14ac:dyDescent="0.25">
      <c r="A17" s="203" t="str">
        <f>'A4-FinPerf RE'!A17</f>
        <v>Licences and permits</v>
      </c>
      <c r="B17" s="172"/>
      <c r="C17" s="2088"/>
      <c r="D17" s="2088"/>
      <c r="E17" s="2088"/>
      <c r="F17" s="2088"/>
      <c r="G17" s="2088">
        <v>3395770.9923999999</v>
      </c>
      <c r="H17" s="2088"/>
      <c r="I17" s="2088"/>
      <c r="J17" s="2088"/>
      <c r="K17" s="2088"/>
      <c r="L17" s="2088"/>
      <c r="M17" s="2088"/>
      <c r="N17" s="2088"/>
      <c r="O17" s="2088"/>
      <c r="P17" s="2088"/>
      <c r="Q17" s="2088"/>
      <c r="R17" s="298">
        <f t="shared" si="0"/>
        <v>3395770.9923999999</v>
      </c>
    </row>
    <row r="18" spans="1:18" ht="11.25" customHeight="1" x14ac:dyDescent="0.25">
      <c r="A18" s="203" t="str">
        <f>'A4-FinPerf RE'!A18</f>
        <v>Agency services</v>
      </c>
      <c r="B18" s="172"/>
      <c r="C18" s="2088"/>
      <c r="D18" s="2088"/>
      <c r="E18" s="2088"/>
      <c r="F18" s="2088"/>
      <c r="G18" s="2088"/>
      <c r="H18" s="2088"/>
      <c r="I18" s="2088"/>
      <c r="J18" s="2088"/>
      <c r="K18" s="2088"/>
      <c r="L18" s="2088"/>
      <c r="M18" s="2088"/>
      <c r="N18" s="2088"/>
      <c r="O18" s="2088"/>
      <c r="P18" s="2088"/>
      <c r="Q18" s="2088"/>
      <c r="R18" s="298">
        <f t="shared" si="0"/>
        <v>0</v>
      </c>
    </row>
    <row r="19" spans="1:18" ht="11.25" customHeight="1" x14ac:dyDescent="0.25">
      <c r="A19" s="68" t="str">
        <f>'A4-FinPerf RE'!A20</f>
        <v>Other revenue</v>
      </c>
      <c r="B19" s="171"/>
      <c r="C19" s="2088">
        <v>950104.88</v>
      </c>
      <c r="D19" s="2088"/>
      <c r="E19" s="2088">
        <v>2315738.89</v>
      </c>
      <c r="F19" s="2088"/>
      <c r="G19" s="2088">
        <v>8236552.7599999998</v>
      </c>
      <c r="H19" s="2088">
        <v>1872491.18</v>
      </c>
      <c r="I19" s="2088"/>
      <c r="J19" s="2088">
        <v>55628.2912</v>
      </c>
      <c r="K19" s="2088"/>
      <c r="L19" s="2088"/>
      <c r="M19" s="2088"/>
      <c r="N19" s="2088"/>
      <c r="O19" s="2088"/>
      <c r="P19" s="2088"/>
      <c r="Q19" s="2088"/>
      <c r="R19" s="298">
        <f t="shared" si="0"/>
        <v>13430516.0012</v>
      </c>
    </row>
    <row r="20" spans="1:18" ht="11.25" customHeight="1" x14ac:dyDescent="0.25">
      <c r="A20" s="203" t="str">
        <f>'A4-FinPerf RE'!A19</f>
        <v>Transfers recognised - operational</v>
      </c>
      <c r="B20" s="172"/>
      <c r="C20" s="2088">
        <v>7336000</v>
      </c>
      <c r="D20" s="2088"/>
      <c r="E20" s="2088">
        <f>111478000+1810000</f>
        <v>113288000</v>
      </c>
      <c r="F20" s="2088"/>
      <c r="G20" s="2088"/>
      <c r="H20" s="2088"/>
      <c r="I20" s="2088"/>
      <c r="J20" s="2088">
        <v>750000</v>
      </c>
      <c r="K20" s="2088"/>
      <c r="L20" s="2088"/>
      <c r="M20" s="2088"/>
      <c r="N20" s="2088"/>
      <c r="O20" s="2088"/>
      <c r="P20" s="2088"/>
      <c r="Q20" s="2088"/>
      <c r="R20" s="298">
        <f t="shared" si="0"/>
        <v>121374000</v>
      </c>
    </row>
    <row r="21" spans="1:18" ht="11.25" customHeight="1" x14ac:dyDescent="0.25">
      <c r="A21" s="68" t="str">
        <f>'A4-FinPerf RE'!A21</f>
        <v>Gains on disposal of PPE</v>
      </c>
      <c r="B21" s="171"/>
      <c r="C21" s="2088"/>
      <c r="D21" s="2088"/>
      <c r="E21" s="2088"/>
      <c r="F21" s="2088"/>
      <c r="G21" s="2088"/>
      <c r="H21" s="2088"/>
      <c r="I21" s="2088"/>
      <c r="J21" s="2088"/>
      <c r="K21" s="2088"/>
      <c r="L21" s="2088"/>
      <c r="M21" s="2088"/>
      <c r="N21" s="2088"/>
      <c r="O21" s="2088"/>
      <c r="P21" s="2088"/>
      <c r="Q21" s="2088"/>
      <c r="R21" s="298">
        <f t="shared" si="0"/>
        <v>0</v>
      </c>
    </row>
    <row r="22" spans="1:18" ht="11.25" customHeight="1" x14ac:dyDescent="0.25">
      <c r="A22" s="204" t="str">
        <f>'A4-FinPerf RE'!A22</f>
        <v>Total Revenue (excluding capital transfers and contributions)</v>
      </c>
      <c r="B22" s="171"/>
      <c r="C22" s="91">
        <f t="shared" ref="C22:R22" si="1">SUM(C5:C21)</f>
        <v>8286104.8799999999</v>
      </c>
      <c r="D22" s="91">
        <f t="shared" si="1"/>
        <v>0</v>
      </c>
      <c r="E22" s="91">
        <f t="shared" si="1"/>
        <v>147592640.377</v>
      </c>
      <c r="F22" s="91">
        <f t="shared" si="1"/>
        <v>0</v>
      </c>
      <c r="G22" s="91">
        <f t="shared" si="1"/>
        <v>16368207.1118</v>
      </c>
      <c r="H22" s="91">
        <f t="shared" si="1"/>
        <v>56590009.062320001</v>
      </c>
      <c r="I22" s="91">
        <f t="shared" si="1"/>
        <v>0</v>
      </c>
      <c r="J22" s="91">
        <f t="shared" si="1"/>
        <v>1014903.9852</v>
      </c>
      <c r="K22" s="91">
        <f t="shared" si="1"/>
        <v>0</v>
      </c>
      <c r="L22" s="91">
        <f t="shared" si="1"/>
        <v>0</v>
      </c>
      <c r="M22" s="91">
        <f t="shared" si="1"/>
        <v>0</v>
      </c>
      <c r="N22" s="91">
        <f t="shared" si="1"/>
        <v>0</v>
      </c>
      <c r="O22" s="91">
        <f t="shared" si="1"/>
        <v>0</v>
      </c>
      <c r="P22" s="91">
        <f t="shared" si="1"/>
        <v>0</v>
      </c>
      <c r="Q22" s="91">
        <f t="shared" si="1"/>
        <v>0</v>
      </c>
      <c r="R22" s="299">
        <f t="shared" si="1"/>
        <v>229851865.41632003</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2088">
        <f>5342296+92537.11</f>
        <v>5434833.1100000003</v>
      </c>
      <c r="D25" s="2088">
        <v>2868136.88</v>
      </c>
      <c r="E25" s="2088">
        <f>11027880.89+94728.38</f>
        <v>11122609.270000001</v>
      </c>
      <c r="F25" s="2088">
        <f>11420317.42+131604.17</f>
        <v>11551921.59</v>
      </c>
      <c r="G25" s="2088">
        <v>22684246.050000001</v>
      </c>
      <c r="H25" s="2088">
        <f>14777364.83+119458.49</f>
        <v>14896823.32</v>
      </c>
      <c r="I25" s="2088"/>
      <c r="J25" s="2088">
        <v>2151180.59</v>
      </c>
      <c r="K25" s="2088"/>
      <c r="L25" s="2088"/>
      <c r="M25" s="2088"/>
      <c r="N25" s="2088"/>
      <c r="O25" s="2088"/>
      <c r="P25" s="2088"/>
      <c r="Q25" s="2088"/>
      <c r="R25" s="298">
        <f>SUM(C25:Q25)</f>
        <v>70709750.810000002</v>
      </c>
    </row>
    <row r="26" spans="1:18" ht="11.25" customHeight="1" x14ac:dyDescent="0.25">
      <c r="A26" s="203" t="str">
        <f>'A4-FinPerf RE'!A26</f>
        <v>Remuneration of councillors</v>
      </c>
      <c r="B26" s="172"/>
      <c r="C26" s="2088">
        <v>11663148.02</v>
      </c>
      <c r="D26" s="2088"/>
      <c r="E26" s="2088"/>
      <c r="F26" s="2088"/>
      <c r="G26" s="2088"/>
      <c r="H26" s="2088"/>
      <c r="I26" s="2088"/>
      <c r="J26" s="2088"/>
      <c r="K26" s="2088"/>
      <c r="L26" s="2088"/>
      <c r="M26" s="2088"/>
      <c r="N26" s="2088"/>
      <c r="O26" s="2088"/>
      <c r="P26" s="2088"/>
      <c r="Q26" s="2088"/>
      <c r="R26" s="298">
        <f t="shared" ref="R26:R35" si="2">SUM(C26:Q26)</f>
        <v>11663148.02</v>
      </c>
    </row>
    <row r="27" spans="1:18" ht="11.25" customHeight="1" x14ac:dyDescent="0.25">
      <c r="A27" s="203" t="str">
        <f>'A4-FinPerf RE'!A27</f>
        <v>Debt impairment</v>
      </c>
      <c r="B27" s="172"/>
      <c r="C27" s="2088"/>
      <c r="D27" s="2088"/>
      <c r="E27" s="2088">
        <v>7314000</v>
      </c>
      <c r="F27" s="2088"/>
      <c r="G27" s="2088"/>
      <c r="H27" s="2088"/>
      <c r="I27" s="2088"/>
      <c r="J27" s="2088"/>
      <c r="K27" s="2088"/>
      <c r="L27" s="2088"/>
      <c r="M27" s="2088"/>
      <c r="N27" s="2088"/>
      <c r="O27" s="2088"/>
      <c r="P27" s="2088"/>
      <c r="Q27" s="2088"/>
      <c r="R27" s="298">
        <f t="shared" si="2"/>
        <v>7314000</v>
      </c>
    </row>
    <row r="28" spans="1:18" ht="11.25" customHeight="1" x14ac:dyDescent="0.25">
      <c r="A28" s="203" t="str">
        <f>'A4-FinPerf RE'!A28</f>
        <v>Depreciation &amp; asset impairment</v>
      </c>
      <c r="B28" s="172"/>
      <c r="C28" s="2088"/>
      <c r="D28" s="2088"/>
      <c r="E28" s="2088">
        <v>44944000</v>
      </c>
      <c r="F28" s="2088"/>
      <c r="G28" s="2088"/>
      <c r="H28" s="2088"/>
      <c r="I28" s="2088"/>
      <c r="J28" s="2088"/>
      <c r="K28" s="2088"/>
      <c r="L28" s="2088"/>
      <c r="M28" s="2088"/>
      <c r="N28" s="2088"/>
      <c r="O28" s="2088"/>
      <c r="P28" s="2088"/>
      <c r="Q28" s="2088"/>
      <c r="R28" s="298">
        <f t="shared" si="2"/>
        <v>44944000</v>
      </c>
    </row>
    <row r="29" spans="1:18" ht="11.25" customHeight="1" x14ac:dyDescent="0.25">
      <c r="A29" s="203" t="str">
        <f>'A4-FinPerf RE'!A29</f>
        <v>Finance charges</v>
      </c>
      <c r="B29" s="172"/>
      <c r="C29" s="2088"/>
      <c r="D29" s="2088"/>
      <c r="E29" s="2088">
        <v>797980.72</v>
      </c>
      <c r="F29" s="2088"/>
      <c r="G29" s="2088"/>
      <c r="H29" s="2088"/>
      <c r="I29" s="2088"/>
      <c r="J29" s="2088"/>
      <c r="K29" s="2088"/>
      <c r="L29" s="2088"/>
      <c r="M29" s="2088"/>
      <c r="N29" s="2088"/>
      <c r="O29" s="2088"/>
      <c r="P29" s="2088"/>
      <c r="Q29" s="2088"/>
      <c r="R29" s="298">
        <f t="shared" si="2"/>
        <v>797980.72</v>
      </c>
    </row>
    <row r="30" spans="1:18" ht="11.25" customHeight="1" x14ac:dyDescent="0.25">
      <c r="A30" s="203" t="str">
        <f>'A4-FinPerf RE'!A30</f>
        <v>Bulk purchases</v>
      </c>
      <c r="B30" s="172"/>
      <c r="C30" s="2088"/>
      <c r="D30" s="2088"/>
      <c r="E30" s="2088"/>
      <c r="F30" s="2088"/>
      <c r="G30" s="2088"/>
      <c r="H30" s="2088">
        <v>29779709.607160002</v>
      </c>
      <c r="I30" s="2088"/>
      <c r="J30" s="2088"/>
      <c r="K30" s="2088"/>
      <c r="L30" s="2088"/>
      <c r="M30" s="2088"/>
      <c r="N30" s="2088"/>
      <c r="O30" s="2088"/>
      <c r="P30" s="2088"/>
      <c r="Q30" s="2088"/>
      <c r="R30" s="298">
        <f t="shared" si="2"/>
        <v>29779709.607160002</v>
      </c>
    </row>
    <row r="31" spans="1:18" ht="11.25" customHeight="1" x14ac:dyDescent="0.25">
      <c r="A31" s="203" t="str">
        <f>'A4-FinPerf RE'!A31</f>
        <v>Other materials</v>
      </c>
      <c r="B31" s="172"/>
      <c r="C31" s="2088">
        <v>119101.6</v>
      </c>
      <c r="D31" s="2088"/>
      <c r="E31" s="2088">
        <v>3091033.3</v>
      </c>
      <c r="F31" s="2088">
        <v>500000</v>
      </c>
      <c r="G31" s="2088">
        <v>2216061.4300000002</v>
      </c>
      <c r="H31" s="2088">
        <v>6014409.4000000004</v>
      </c>
      <c r="I31" s="2088"/>
      <c r="J31" s="2088">
        <v>857837.09</v>
      </c>
      <c r="K31" s="2088"/>
      <c r="L31" s="2088"/>
      <c r="M31" s="2088"/>
      <c r="N31" s="2088"/>
      <c r="O31" s="2088"/>
      <c r="P31" s="2088"/>
      <c r="Q31" s="2088"/>
      <c r="R31" s="298">
        <f t="shared" si="2"/>
        <v>12798442.82</v>
      </c>
    </row>
    <row r="32" spans="1:18" ht="11.25" customHeight="1" x14ac:dyDescent="0.25">
      <c r="A32" s="203" t="str">
        <f>'A4-FinPerf RE'!A32</f>
        <v>Contracted services</v>
      </c>
      <c r="B32" s="172"/>
      <c r="C32" s="2088"/>
      <c r="D32" s="2088"/>
      <c r="E32" s="2088"/>
      <c r="F32" s="2088"/>
      <c r="G32" s="2088"/>
      <c r="H32" s="2088"/>
      <c r="I32" s="2088"/>
      <c r="J32" s="2088"/>
      <c r="K32" s="2088"/>
      <c r="L32" s="2088"/>
      <c r="M32" s="2088"/>
      <c r="N32" s="2088"/>
      <c r="O32" s="2088"/>
      <c r="P32" s="2088"/>
      <c r="Q32" s="2088"/>
      <c r="R32" s="298">
        <f t="shared" si="2"/>
        <v>0</v>
      </c>
    </row>
    <row r="33" spans="1:21" ht="11.25" customHeight="1" x14ac:dyDescent="0.25">
      <c r="A33" s="203" t="str">
        <f>'A4-FinPerf RE'!A33</f>
        <v>Transfers and grants</v>
      </c>
      <c r="B33" s="172"/>
      <c r="C33" s="2088"/>
      <c r="D33" s="2088"/>
      <c r="E33" s="2088"/>
      <c r="F33" s="2088">
        <v>1168000</v>
      </c>
      <c r="G33" s="2088"/>
      <c r="H33" s="2088">
        <v>1555206.22</v>
      </c>
      <c r="I33" s="2088"/>
      <c r="J33" s="2088"/>
      <c r="K33" s="2088"/>
      <c r="L33" s="2088"/>
      <c r="M33" s="2088"/>
      <c r="N33" s="2088"/>
      <c r="O33" s="2088"/>
      <c r="P33" s="2088"/>
      <c r="Q33" s="2088"/>
      <c r="R33" s="298">
        <f t="shared" si="2"/>
        <v>2723206.2199999997</v>
      </c>
    </row>
    <row r="34" spans="1:21" ht="11.25" customHeight="1" x14ac:dyDescent="0.25">
      <c r="A34" s="203" t="str">
        <f>'A4-FinPerf RE'!A34</f>
        <v>Other expenditure</v>
      </c>
      <c r="B34" s="172"/>
      <c r="C34" s="2088">
        <f>11972413.48-92537.11</f>
        <v>11879876.370000001</v>
      </c>
      <c r="D34" s="2088">
        <v>1545930.61</v>
      </c>
      <c r="E34" s="2088">
        <f>20423542.41-94728.38</f>
        <v>20328814.030000001</v>
      </c>
      <c r="F34" s="2088">
        <f>12747658.01-131604.17</f>
        <v>12616053.84</v>
      </c>
      <c r="G34" s="2088">
        <v>21475463.399999999</v>
      </c>
      <c r="H34" s="2088">
        <v>60092633.189999998</v>
      </c>
      <c r="I34" s="2088"/>
      <c r="J34" s="2088">
        <v>5357855.79</v>
      </c>
      <c r="K34" s="2088"/>
      <c r="L34" s="2088"/>
      <c r="M34" s="2088"/>
      <c r="N34" s="2088"/>
      <c r="O34" s="2088"/>
      <c r="P34" s="2088"/>
      <c r="Q34" s="2088"/>
      <c r="R34" s="298">
        <f t="shared" si="2"/>
        <v>133296627.23</v>
      </c>
    </row>
    <row r="35" spans="1:21" ht="11.25" customHeight="1" x14ac:dyDescent="0.25">
      <c r="A35" s="203" t="str">
        <f>'A4-FinPerf RE'!A35</f>
        <v>Loss on disposal of PPE</v>
      </c>
      <c r="B35" s="172"/>
      <c r="C35" s="2088"/>
      <c r="D35" s="2088"/>
      <c r="E35" s="2088"/>
      <c r="F35" s="2088"/>
      <c r="G35" s="2088"/>
      <c r="H35" s="2088"/>
      <c r="I35" s="2088"/>
      <c r="J35" s="2088"/>
      <c r="K35" s="2088"/>
      <c r="L35" s="2088"/>
      <c r="M35" s="2088"/>
      <c r="N35" s="2088"/>
      <c r="O35" s="2088"/>
      <c r="P35" s="2088"/>
      <c r="Q35" s="2088"/>
      <c r="R35" s="298">
        <f t="shared" si="2"/>
        <v>0</v>
      </c>
    </row>
    <row r="36" spans="1:21" ht="11.25" customHeight="1" x14ac:dyDescent="0.25">
      <c r="A36" s="204" t="s">
        <v>1573</v>
      </c>
      <c r="B36" s="171"/>
      <c r="C36" s="91">
        <f t="shared" ref="C36:R36" si="3">SUM(C25:C35)</f>
        <v>29096959.100000001</v>
      </c>
      <c r="D36" s="91">
        <f t="shared" si="3"/>
        <v>4414067.49</v>
      </c>
      <c r="E36" s="91">
        <f t="shared" si="3"/>
        <v>87598437.320000008</v>
      </c>
      <c r="F36" s="91">
        <f t="shared" si="3"/>
        <v>25835975.43</v>
      </c>
      <c r="G36" s="91">
        <f t="shared" si="3"/>
        <v>46375770.879999995</v>
      </c>
      <c r="H36" s="91">
        <f t="shared" si="3"/>
        <v>112338781.73716</v>
      </c>
      <c r="I36" s="91">
        <f t="shared" si="3"/>
        <v>0</v>
      </c>
      <c r="J36" s="91">
        <f t="shared" si="3"/>
        <v>8366873.4699999997</v>
      </c>
      <c r="K36" s="91">
        <f t="shared" si="3"/>
        <v>0</v>
      </c>
      <c r="L36" s="91">
        <f t="shared" si="3"/>
        <v>0</v>
      </c>
      <c r="M36" s="91">
        <f t="shared" si="3"/>
        <v>0</v>
      </c>
      <c r="N36" s="91">
        <f t="shared" si="3"/>
        <v>0</v>
      </c>
      <c r="O36" s="91">
        <f t="shared" si="3"/>
        <v>0</v>
      </c>
      <c r="P36" s="91">
        <f t="shared" si="3"/>
        <v>0</v>
      </c>
      <c r="Q36" s="91">
        <f t="shared" si="3"/>
        <v>0</v>
      </c>
      <c r="R36" s="299">
        <f t="shared" si="3"/>
        <v>314026865.42715997</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-20810854.220000003</v>
      </c>
      <c r="D38" s="91">
        <f t="shared" si="4"/>
        <v>-4414067.49</v>
      </c>
      <c r="E38" s="91">
        <f t="shared" si="4"/>
        <v>59994203.056999996</v>
      </c>
      <c r="F38" s="91">
        <f t="shared" si="4"/>
        <v>-25835975.43</v>
      </c>
      <c r="G38" s="91">
        <f t="shared" si="4"/>
        <v>-30007563.768199995</v>
      </c>
      <c r="H38" s="91">
        <f t="shared" si="4"/>
        <v>-55748772.674839996</v>
      </c>
      <c r="I38" s="91">
        <f t="shared" ref="I38:Q38" si="5">I22-I36</f>
        <v>0</v>
      </c>
      <c r="J38" s="91">
        <f t="shared" si="5"/>
        <v>-7351969.4847999997</v>
      </c>
      <c r="K38" s="91">
        <f t="shared" si="5"/>
        <v>0</v>
      </c>
      <c r="L38" s="91">
        <f t="shared" si="5"/>
        <v>0</v>
      </c>
      <c r="M38" s="91">
        <f t="shared" si="5"/>
        <v>0</v>
      </c>
      <c r="N38" s="91">
        <f t="shared" si="5"/>
        <v>0</v>
      </c>
      <c r="O38" s="91">
        <f t="shared" si="5"/>
        <v>0</v>
      </c>
      <c r="P38" s="91">
        <f t="shared" si="5"/>
        <v>0</v>
      </c>
      <c r="Q38" s="91">
        <f t="shared" si="5"/>
        <v>0</v>
      </c>
      <c r="R38" s="299">
        <f>R22-R36</f>
        <v>-84175000.010839939</v>
      </c>
    </row>
    <row r="39" spans="1:21" ht="11.25" customHeight="1" x14ac:dyDescent="0.25">
      <c r="A39" s="68" t="str">
        <f>'A4-FinPerf RE'!A39</f>
        <v>Transfers recognised - capital</v>
      </c>
      <c r="B39" s="171"/>
      <c r="C39" s="2121"/>
      <c r="D39" s="2121"/>
      <c r="E39" s="2121"/>
      <c r="F39" s="2121"/>
      <c r="G39" s="2121"/>
      <c r="H39" s="2121">
        <v>31917000</v>
      </c>
      <c r="I39" s="2121"/>
      <c r="J39" s="2121"/>
      <c r="K39" s="2121"/>
      <c r="L39" s="2121"/>
      <c r="M39" s="2121"/>
      <c r="N39" s="2121"/>
      <c r="O39" s="2121"/>
      <c r="P39" s="2121"/>
      <c r="Q39" s="2121"/>
      <c r="R39" s="298">
        <f>SUM(C39:Q39)</f>
        <v>31917000</v>
      </c>
    </row>
    <row r="40" spans="1:21" x14ac:dyDescent="0.25">
      <c r="A40" s="300" t="str">
        <f>'A4-FinPerf RE'!A40</f>
        <v>Contributions recognised - capital</v>
      </c>
      <c r="B40" s="171"/>
      <c r="C40" s="2088"/>
      <c r="D40" s="2088"/>
      <c r="E40" s="2088"/>
      <c r="F40" s="2088"/>
      <c r="G40" s="2088"/>
      <c r="H40" s="2088"/>
      <c r="I40" s="2088"/>
      <c r="J40" s="2088"/>
      <c r="K40" s="2088"/>
      <c r="L40" s="2088"/>
      <c r="M40" s="2088"/>
      <c r="N40" s="2088"/>
      <c r="O40" s="2088"/>
      <c r="P40" s="2088"/>
      <c r="Q40" s="2088"/>
      <c r="R40" s="298">
        <f>SUM(C40:Q40)</f>
        <v>0</v>
      </c>
    </row>
    <row r="41" spans="1:21" ht="11.25" customHeight="1" x14ac:dyDescent="0.25">
      <c r="A41" s="68" t="str">
        <f>'A4-FinPerf RE'!A41</f>
        <v>Contributed assets</v>
      </c>
      <c r="B41" s="171"/>
      <c r="C41" s="2121"/>
      <c r="D41" s="2121"/>
      <c r="E41" s="2121"/>
      <c r="F41" s="2121"/>
      <c r="G41" s="2121"/>
      <c r="H41" s="2121"/>
      <c r="I41" s="2121"/>
      <c r="J41" s="2121"/>
      <c r="K41" s="2121"/>
      <c r="L41" s="2121"/>
      <c r="M41" s="2121"/>
      <c r="N41" s="2121"/>
      <c r="O41" s="2121"/>
      <c r="P41" s="2121"/>
      <c r="Q41" s="2121"/>
      <c r="R41" s="298">
        <f>SUM(C41:Q41)</f>
        <v>0</v>
      </c>
    </row>
    <row r="42" spans="1:21" ht="25.5" x14ac:dyDescent="0.25">
      <c r="A42" s="301" t="str">
        <f>'A4-FinPerf RE'!A42</f>
        <v>Surplus/(Deficit) after capital transfers &amp; contributions</v>
      </c>
      <c r="B42" s="184"/>
      <c r="C42" s="1139">
        <f t="shared" ref="C42:P42" si="6">SUM(C38:C41)</f>
        <v>-20810854.220000003</v>
      </c>
      <c r="D42" s="1139">
        <f t="shared" si="6"/>
        <v>-4414067.49</v>
      </c>
      <c r="E42" s="1139">
        <f t="shared" si="6"/>
        <v>59994203.056999996</v>
      </c>
      <c r="F42" s="1139">
        <f t="shared" si="6"/>
        <v>-25835975.43</v>
      </c>
      <c r="G42" s="1139">
        <f t="shared" si="6"/>
        <v>-30007563.768199995</v>
      </c>
      <c r="H42" s="1139">
        <f t="shared" si="6"/>
        <v>-23831772.674839996</v>
      </c>
      <c r="I42" s="1139">
        <f t="shared" si="6"/>
        <v>0</v>
      </c>
      <c r="J42" s="1139">
        <f t="shared" si="6"/>
        <v>-7351969.4847999997</v>
      </c>
      <c r="K42" s="1139">
        <f t="shared" si="6"/>
        <v>0</v>
      </c>
      <c r="L42" s="1139">
        <f t="shared" si="6"/>
        <v>0</v>
      </c>
      <c r="M42" s="1139">
        <f t="shared" si="6"/>
        <v>0</v>
      </c>
      <c r="N42" s="1139">
        <f t="shared" si="6"/>
        <v>0</v>
      </c>
      <c r="O42" s="1139">
        <f t="shared" si="6"/>
        <v>0</v>
      </c>
      <c r="P42" s="1139">
        <f t="shared" si="6"/>
        <v>0</v>
      </c>
      <c r="Q42" s="1139">
        <f>SUM(Q38:Q41)</f>
        <v>0</v>
      </c>
      <c r="R42" s="1140">
        <f>SUM(R38:R41)</f>
        <v>-52258000.010839939</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1605</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-3.6200016736984253E-2</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zoomScaleSheetLayoutView="100" workbookViewId="0">
      <pane xSplit="2" ySplit="4" topLeftCell="C32" activePane="bottomRight" state="frozen"/>
      <selection pane="topRight"/>
      <selection pane="bottomLeft"/>
      <selection pane="bottomRight" activeCell="J7" sqref="J7:L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LIM471 Ephraim Mogale - Supporting Table SA3 Supportinging detail to 'Budgeted Financial Position'</v>
      </c>
      <c r="B1" s="25"/>
      <c r="C1" s="25"/>
      <c r="D1" s="25"/>
      <c r="E1" s="25"/>
      <c r="F1" s="25"/>
      <c r="G1" s="25"/>
      <c r="H1" s="25"/>
      <c r="I1" s="25"/>
      <c r="J1" s="25"/>
      <c r="K1" s="25"/>
      <c r="L1" s="25"/>
    </row>
    <row r="2" spans="1:12" ht="28.5" customHeight="1" x14ac:dyDescent="0.25">
      <c r="A2" s="2680" t="str">
        <f>desc</f>
        <v>Description</v>
      </c>
      <c r="B2" s="2682" t="str">
        <f>head27</f>
        <v>Ref</v>
      </c>
      <c r="C2" s="28"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33.75" customHeight="1" x14ac:dyDescent="0.25">
      <c r="A3" s="2681"/>
      <c r="B3" s="268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625</v>
      </c>
      <c r="B4" s="168"/>
      <c r="C4" s="16"/>
      <c r="D4" s="16"/>
      <c r="E4" s="34"/>
      <c r="F4" s="33"/>
      <c r="G4" s="16"/>
      <c r="H4" s="34"/>
      <c r="I4" s="35"/>
      <c r="J4" s="33"/>
      <c r="K4" s="16"/>
      <c r="L4" s="34"/>
    </row>
    <row r="5" spans="1:12" ht="11.25" customHeight="1" x14ac:dyDescent="0.25">
      <c r="A5" s="204" t="s">
        <v>971</v>
      </c>
      <c r="B5" s="169"/>
      <c r="C5" s="303"/>
      <c r="D5" s="303"/>
      <c r="E5" s="82"/>
      <c r="F5" s="83"/>
      <c r="G5" s="303"/>
      <c r="H5" s="82"/>
      <c r="I5" s="80"/>
      <c r="J5" s="304"/>
      <c r="K5" s="2537"/>
      <c r="L5" s="82"/>
    </row>
    <row r="6" spans="1:12" ht="11.25" customHeight="1" x14ac:dyDescent="0.25">
      <c r="A6" s="59" t="str">
        <f>'A6-FinPos'!A7</f>
        <v>Call investment deposits</v>
      </c>
      <c r="B6" s="171"/>
      <c r="C6" s="81"/>
      <c r="D6" s="81"/>
      <c r="E6" s="82"/>
      <c r="F6" s="83"/>
      <c r="G6" s="81"/>
      <c r="H6" s="82"/>
      <c r="I6" s="80"/>
      <c r="J6" s="84"/>
      <c r="K6" s="1946"/>
      <c r="L6" s="82"/>
    </row>
    <row r="7" spans="1:12" ht="11.25" customHeight="1" x14ac:dyDescent="0.25">
      <c r="A7" s="68" t="s">
        <v>774</v>
      </c>
      <c r="B7" s="171"/>
      <c r="C7" s="2088"/>
      <c r="D7" s="2088">
        <v>21195694</v>
      </c>
      <c r="E7" s="2106">
        <v>22399847</v>
      </c>
      <c r="F7" s="2107">
        <v>15000000</v>
      </c>
      <c r="G7" s="2107">
        <v>15000000</v>
      </c>
      <c r="H7" s="2107">
        <v>15000000</v>
      </c>
      <c r="I7" s="2107">
        <v>15000000</v>
      </c>
      <c r="J7" s="2090">
        <f>I7*106%</f>
        <v>15900000</v>
      </c>
      <c r="K7" s="2090">
        <f t="shared" ref="K7:L7" si="0">J7*106%</f>
        <v>16854000</v>
      </c>
      <c r="L7" s="2090">
        <f t="shared" si="0"/>
        <v>17865240</v>
      </c>
    </row>
    <row r="8" spans="1:12" ht="11.25" customHeight="1" x14ac:dyDescent="0.25">
      <c r="A8" s="68" t="s">
        <v>1494</v>
      </c>
      <c r="B8" s="171"/>
      <c r="C8" s="2088"/>
      <c r="D8" s="2088"/>
      <c r="E8" s="2106"/>
      <c r="F8" s="2107"/>
      <c r="G8" s="2088"/>
      <c r="H8" s="2106"/>
      <c r="I8" s="2108"/>
      <c r="J8" s="2090"/>
      <c r="K8" s="2092"/>
      <c r="L8" s="2106"/>
    </row>
    <row r="9" spans="1:12" ht="11.25" customHeight="1" x14ac:dyDescent="0.25">
      <c r="A9" s="204" t="str">
        <f>"Total "&amp;A6</f>
        <v>Total Call investment deposits</v>
      </c>
      <c r="B9" s="171">
        <v>2</v>
      </c>
      <c r="C9" s="91">
        <f>SUM(C7:C8)</f>
        <v>0</v>
      </c>
      <c r="D9" s="91">
        <f t="shared" ref="D9:L9" si="1">SUM(D7:D8)</f>
        <v>21195694</v>
      </c>
      <c r="E9" s="92">
        <f t="shared" si="1"/>
        <v>22399847</v>
      </c>
      <c r="F9" s="93">
        <f t="shared" si="1"/>
        <v>15000000</v>
      </c>
      <c r="G9" s="91">
        <f t="shared" si="1"/>
        <v>15000000</v>
      </c>
      <c r="H9" s="92">
        <f t="shared" si="1"/>
        <v>15000000</v>
      </c>
      <c r="I9" s="90">
        <f t="shared" si="1"/>
        <v>15000000</v>
      </c>
      <c r="J9" s="94">
        <f t="shared" si="1"/>
        <v>15900000</v>
      </c>
      <c r="K9" s="1238">
        <f t="shared" si="1"/>
        <v>16854000</v>
      </c>
      <c r="L9" s="92">
        <f t="shared" si="1"/>
        <v>17865240</v>
      </c>
    </row>
    <row r="10" spans="1:12" ht="5.0999999999999996" customHeight="1" x14ac:dyDescent="0.25">
      <c r="A10" s="79"/>
      <c r="B10" s="171"/>
      <c r="C10" s="81"/>
      <c r="D10" s="81"/>
      <c r="E10" s="82"/>
      <c r="F10" s="83"/>
      <c r="G10" s="81"/>
      <c r="H10" s="82"/>
      <c r="I10" s="80"/>
      <c r="J10" s="84"/>
      <c r="K10" s="1946"/>
      <c r="L10" s="82"/>
    </row>
    <row r="11" spans="1:12" ht="11.25" customHeight="1" x14ac:dyDescent="0.25">
      <c r="A11" s="59" t="str">
        <f>'A6-FinPos'!A8</f>
        <v>Consumer debtors</v>
      </c>
      <c r="B11" s="171"/>
      <c r="C11" s="81"/>
      <c r="D11" s="81"/>
      <c r="E11" s="82"/>
      <c r="F11" s="83"/>
      <c r="G11" s="81"/>
      <c r="H11" s="82"/>
      <c r="I11" s="80"/>
      <c r="J11" s="84"/>
      <c r="K11" s="1946"/>
      <c r="L11" s="82"/>
    </row>
    <row r="12" spans="1:12" ht="11.25" customHeight="1" x14ac:dyDescent="0.25">
      <c r="A12" s="68" t="str">
        <f>A11</f>
        <v>Consumer debtors</v>
      </c>
      <c r="B12" s="171"/>
      <c r="C12" s="2088"/>
      <c r="D12" s="2088">
        <v>11547944</v>
      </c>
      <c r="E12" s="2106">
        <v>5236458</v>
      </c>
      <c r="F12" s="2107">
        <v>3000000</v>
      </c>
      <c r="G12" s="2107">
        <v>3000000</v>
      </c>
      <c r="H12" s="2107">
        <v>3000000</v>
      </c>
      <c r="I12" s="2107">
        <v>3000000</v>
      </c>
      <c r="J12" s="2090">
        <v>3180000</v>
      </c>
      <c r="K12" s="2092">
        <v>3370800</v>
      </c>
      <c r="L12" s="2106">
        <v>3573048</v>
      </c>
    </row>
    <row r="13" spans="1:12" ht="11.25" customHeight="1" x14ac:dyDescent="0.25">
      <c r="A13" s="292" t="s">
        <v>356</v>
      </c>
      <c r="B13" s="171"/>
      <c r="C13" s="2088"/>
      <c r="D13" s="2088"/>
      <c r="E13" s="2106"/>
      <c r="F13" s="2107"/>
      <c r="G13" s="2088"/>
      <c r="H13" s="2106"/>
      <c r="I13" s="2108"/>
      <c r="J13" s="2090"/>
      <c r="K13" s="2092"/>
      <c r="L13" s="2106"/>
    </row>
    <row r="14" spans="1:12" ht="11.25" customHeight="1" x14ac:dyDescent="0.25">
      <c r="A14" s="204" t="str">
        <f>"Total "&amp;A11</f>
        <v>Total Consumer debtors</v>
      </c>
      <c r="B14" s="171">
        <v>2</v>
      </c>
      <c r="C14" s="91">
        <f>SUM(C12:C13)</f>
        <v>0</v>
      </c>
      <c r="D14" s="91">
        <f t="shared" ref="D14:L14" si="2">SUM(D12:D13)</f>
        <v>11547944</v>
      </c>
      <c r="E14" s="92">
        <f t="shared" si="2"/>
        <v>5236458</v>
      </c>
      <c r="F14" s="93">
        <f>SUM(F12:F13)</f>
        <v>3000000</v>
      </c>
      <c r="G14" s="91">
        <f t="shared" si="2"/>
        <v>3000000</v>
      </c>
      <c r="H14" s="92">
        <f t="shared" si="2"/>
        <v>3000000</v>
      </c>
      <c r="I14" s="90">
        <f t="shared" si="2"/>
        <v>3000000</v>
      </c>
      <c r="J14" s="94">
        <f t="shared" si="2"/>
        <v>3180000</v>
      </c>
      <c r="K14" s="1238">
        <f t="shared" si="2"/>
        <v>3370800</v>
      </c>
      <c r="L14" s="92">
        <f t="shared" si="2"/>
        <v>3573048</v>
      </c>
    </row>
    <row r="15" spans="1:12" ht="5.0999999999999996" customHeight="1" x14ac:dyDescent="0.25">
      <c r="A15" s="79"/>
      <c r="B15" s="171"/>
      <c r="C15" s="81"/>
      <c r="D15" s="81"/>
      <c r="E15" s="82"/>
      <c r="F15" s="83"/>
      <c r="G15" s="81"/>
      <c r="H15" s="82"/>
      <c r="I15" s="80"/>
      <c r="J15" s="84"/>
      <c r="K15" s="1946"/>
      <c r="L15" s="82"/>
    </row>
    <row r="16" spans="1:12" ht="11.25" customHeight="1" x14ac:dyDescent="0.25">
      <c r="A16" s="1044" t="s">
        <v>3</v>
      </c>
      <c r="B16" s="171"/>
      <c r="C16" s="81"/>
      <c r="D16" s="81"/>
      <c r="E16" s="82"/>
      <c r="F16" s="83"/>
      <c r="G16" s="81"/>
      <c r="H16" s="82"/>
      <c r="I16" s="80"/>
      <c r="J16" s="84"/>
      <c r="K16" s="1946"/>
      <c r="L16" s="82"/>
    </row>
    <row r="17" spans="1:12" ht="11.25" customHeight="1" x14ac:dyDescent="0.25">
      <c r="A17" s="295" t="s">
        <v>4</v>
      </c>
      <c r="B17" s="171"/>
      <c r="C17" s="2088"/>
      <c r="D17" s="2088"/>
      <c r="E17" s="2106"/>
      <c r="F17" s="2107"/>
      <c r="G17" s="2088"/>
      <c r="H17" s="2106"/>
      <c r="I17" s="2108"/>
      <c r="J17" s="2090"/>
      <c r="K17" s="2092"/>
      <c r="L17" s="2106"/>
    </row>
    <row r="18" spans="1:12" ht="11.25" customHeight="1" x14ac:dyDescent="0.25">
      <c r="A18" s="295" t="s">
        <v>5</v>
      </c>
      <c r="B18" s="171"/>
      <c r="C18" s="2088"/>
      <c r="D18" s="2088"/>
      <c r="E18" s="2106"/>
      <c r="F18" s="2107"/>
      <c r="G18" s="2088"/>
      <c r="H18" s="2106"/>
      <c r="I18" s="2108"/>
      <c r="J18" s="2090"/>
      <c r="K18" s="2092"/>
      <c r="L18" s="2106"/>
    </row>
    <row r="19" spans="1:12" ht="11.25" customHeight="1" x14ac:dyDescent="0.25">
      <c r="A19" s="295" t="s">
        <v>6</v>
      </c>
      <c r="B19" s="171"/>
      <c r="C19" s="2088"/>
      <c r="D19" s="2088"/>
      <c r="E19" s="2106"/>
      <c r="F19" s="2107"/>
      <c r="G19" s="2088"/>
      <c r="H19" s="2106"/>
      <c r="I19" s="2108"/>
      <c r="J19" s="2090"/>
      <c r="K19" s="2092"/>
      <c r="L19" s="2106"/>
    </row>
    <row r="20" spans="1:12" ht="11.25" customHeight="1" x14ac:dyDescent="0.25">
      <c r="A20" s="1043" t="s">
        <v>7</v>
      </c>
      <c r="B20" s="171"/>
      <c r="C20" s="91">
        <f>SUM(C17:C19)</f>
        <v>0</v>
      </c>
      <c r="D20" s="91">
        <f t="shared" ref="D20:L20" si="3">SUM(D17:D19)</f>
        <v>0</v>
      </c>
      <c r="E20" s="92">
        <f t="shared" si="3"/>
        <v>0</v>
      </c>
      <c r="F20" s="93">
        <f t="shared" si="3"/>
        <v>0</v>
      </c>
      <c r="G20" s="91">
        <f t="shared" si="3"/>
        <v>0</v>
      </c>
      <c r="H20" s="92">
        <f t="shared" si="3"/>
        <v>0</v>
      </c>
      <c r="I20" s="90">
        <f t="shared" si="3"/>
        <v>0</v>
      </c>
      <c r="J20" s="94">
        <f t="shared" si="3"/>
        <v>0</v>
      </c>
      <c r="K20" s="1238">
        <f t="shared" si="3"/>
        <v>0</v>
      </c>
      <c r="L20" s="92">
        <f t="shared" si="3"/>
        <v>0</v>
      </c>
    </row>
    <row r="21" spans="1:12" ht="5.0999999999999996" customHeight="1" x14ac:dyDescent="0.25">
      <c r="A21" s="79"/>
      <c r="B21" s="171"/>
      <c r="C21" s="81"/>
      <c r="D21" s="81"/>
      <c r="E21" s="82"/>
      <c r="F21" s="83"/>
      <c r="G21" s="81"/>
      <c r="H21" s="82"/>
      <c r="I21" s="80"/>
      <c r="J21" s="84"/>
      <c r="K21" s="1946"/>
      <c r="L21" s="82"/>
    </row>
    <row r="22" spans="1:12" ht="11.25" customHeight="1" x14ac:dyDescent="0.25">
      <c r="A22" s="59" t="str">
        <f>'A6-FinPos'!A19&amp;" (PPE)"</f>
        <v>Property, plant and equipment (PPE)</v>
      </c>
      <c r="B22" s="171"/>
      <c r="C22" s="81"/>
      <c r="D22" s="81"/>
      <c r="E22" s="82"/>
      <c r="F22" s="83"/>
      <c r="G22" s="81"/>
      <c r="H22" s="82"/>
      <c r="I22" s="80"/>
      <c r="J22" s="84"/>
      <c r="K22" s="1946"/>
      <c r="L22" s="82"/>
    </row>
    <row r="23" spans="1:12" ht="11.25" customHeight="1" x14ac:dyDescent="0.25">
      <c r="A23" s="203" t="s">
        <v>1592</v>
      </c>
      <c r="B23" s="171"/>
      <c r="C23" s="2088"/>
      <c r="D23" s="2088">
        <v>788573861</v>
      </c>
      <c r="E23" s="2106">
        <v>793054824</v>
      </c>
      <c r="F23" s="2107">
        <v>78213000</v>
      </c>
      <c r="G23" s="2107">
        <v>78213000</v>
      </c>
      <c r="H23" s="2107">
        <v>78213000</v>
      </c>
      <c r="I23" s="2107">
        <v>78213000</v>
      </c>
      <c r="J23" s="2090">
        <f>I23*106%</f>
        <v>82905780</v>
      </c>
      <c r="K23" s="2090">
        <f t="shared" ref="K23:L23" si="4">J23*106%</f>
        <v>87880126.799999997</v>
      </c>
      <c r="L23" s="2090">
        <f t="shared" si="4"/>
        <v>93152934.408000007</v>
      </c>
    </row>
    <row r="24" spans="1:12" ht="11.25" customHeight="1" x14ac:dyDescent="0.25">
      <c r="A24" s="203" t="s">
        <v>1007</v>
      </c>
      <c r="B24" s="171">
        <v>3</v>
      </c>
      <c r="C24" s="2088"/>
      <c r="D24" s="2088"/>
      <c r="E24" s="2106"/>
      <c r="F24" s="2107"/>
      <c r="G24" s="2088"/>
      <c r="H24" s="2106"/>
      <c r="I24" s="2108"/>
      <c r="J24" s="2090"/>
      <c r="K24" s="2092"/>
      <c r="L24" s="2106"/>
    </row>
    <row r="25" spans="1:12" ht="11.25" customHeight="1" x14ac:dyDescent="0.25">
      <c r="A25" s="1389" t="s">
        <v>775</v>
      </c>
      <c r="B25" s="171"/>
      <c r="C25" s="2088"/>
      <c r="D25" s="2088"/>
      <c r="E25" s="2106"/>
      <c r="F25" s="2107"/>
      <c r="G25" s="2088"/>
      <c r="H25" s="2106"/>
      <c r="I25" s="2108"/>
      <c r="J25" s="2090"/>
      <c r="K25" s="2092"/>
      <c r="L25" s="2106"/>
    </row>
    <row r="26" spans="1:12" ht="11.25" customHeight="1" x14ac:dyDescent="0.25">
      <c r="A26" s="204" t="str">
        <f>"Total "&amp;A22</f>
        <v>Total Property, plant and equipment (PPE)</v>
      </c>
      <c r="B26" s="171">
        <v>2</v>
      </c>
      <c r="C26" s="91">
        <f>SUM(C23:C24)-C25</f>
        <v>0</v>
      </c>
      <c r="D26" s="91">
        <f t="shared" ref="D26:L26" si="5">SUM(D23:D24)-D25</f>
        <v>788573861</v>
      </c>
      <c r="E26" s="92">
        <f t="shared" si="5"/>
        <v>793054824</v>
      </c>
      <c r="F26" s="93">
        <f t="shared" si="5"/>
        <v>78213000</v>
      </c>
      <c r="G26" s="91">
        <f t="shared" si="5"/>
        <v>78213000</v>
      </c>
      <c r="H26" s="92">
        <f t="shared" si="5"/>
        <v>78213000</v>
      </c>
      <c r="I26" s="90">
        <f t="shared" si="5"/>
        <v>78213000</v>
      </c>
      <c r="J26" s="94">
        <f t="shared" si="5"/>
        <v>82905780</v>
      </c>
      <c r="K26" s="1238">
        <f t="shared" si="5"/>
        <v>87880126.799999997</v>
      </c>
      <c r="L26" s="92">
        <f t="shared" si="5"/>
        <v>93152934.408000007</v>
      </c>
    </row>
    <row r="27" spans="1:12" ht="5.0999999999999996" customHeight="1" x14ac:dyDescent="0.25">
      <c r="A27" s="79"/>
      <c r="B27" s="171"/>
      <c r="C27" s="81"/>
      <c r="D27" s="81"/>
      <c r="E27" s="82"/>
      <c r="F27" s="83"/>
      <c r="G27" s="81"/>
      <c r="H27" s="82"/>
      <c r="I27" s="80"/>
      <c r="J27" s="84"/>
      <c r="K27" s="1946"/>
      <c r="L27" s="82"/>
    </row>
    <row r="28" spans="1:12" ht="15.75" customHeight="1" x14ac:dyDescent="0.25">
      <c r="A28" s="284" t="s">
        <v>546</v>
      </c>
      <c r="B28" s="285"/>
      <c r="C28" s="286"/>
      <c r="D28" s="286"/>
      <c r="E28" s="287"/>
      <c r="F28" s="288"/>
      <c r="G28" s="286"/>
      <c r="H28" s="287"/>
      <c r="I28" s="289"/>
      <c r="J28" s="290"/>
      <c r="K28" s="2538"/>
      <c r="L28" s="287"/>
    </row>
    <row r="29" spans="1:12" ht="11.25" customHeight="1" x14ac:dyDescent="0.25">
      <c r="A29" s="59" t="str">
        <f>'A6-FinPos'!A28&amp;" - "&amp;'A6-FinPos'!A30</f>
        <v>Current liabilities - Borrowing</v>
      </c>
      <c r="B29" s="171"/>
      <c r="C29" s="81"/>
      <c r="D29" s="81"/>
      <c r="E29" s="82"/>
      <c r="F29" s="83"/>
      <c r="G29" s="81"/>
      <c r="H29" s="82"/>
      <c r="I29" s="80"/>
      <c r="J29" s="84"/>
      <c r="K29" s="1946"/>
      <c r="L29" s="82"/>
    </row>
    <row r="30" spans="1:12" ht="11.25" customHeight="1" x14ac:dyDescent="0.25">
      <c r="A30" s="68" t="s">
        <v>662</v>
      </c>
      <c r="B30" s="171"/>
      <c r="C30" s="2088"/>
      <c r="D30" s="2088">
        <v>1316866</v>
      </c>
      <c r="E30" s="2106">
        <v>1425253</v>
      </c>
      <c r="F30" s="2107"/>
      <c r="G30" s="2088"/>
      <c r="H30" s="2106"/>
      <c r="I30" s="2108"/>
      <c r="J30" s="2090"/>
      <c r="K30" s="2092"/>
      <c r="L30" s="2106"/>
    </row>
    <row r="31" spans="1:12" ht="11.25" customHeight="1" x14ac:dyDescent="0.25">
      <c r="A31" s="68" t="s">
        <v>1447</v>
      </c>
      <c r="B31" s="171"/>
      <c r="C31" s="2088"/>
      <c r="D31" s="2088"/>
      <c r="E31" s="2106"/>
      <c r="F31" s="2107"/>
      <c r="G31" s="2088"/>
      <c r="H31" s="2106"/>
      <c r="I31" s="2108"/>
      <c r="J31" s="2090"/>
      <c r="K31" s="2092"/>
      <c r="L31" s="2106"/>
    </row>
    <row r="32" spans="1:12" ht="11.25" customHeight="1" x14ac:dyDescent="0.25">
      <c r="A32" s="204" t="str">
        <f>"Total "&amp;A29</f>
        <v>Total Current liabilities - Borrowing</v>
      </c>
      <c r="B32" s="171"/>
      <c r="C32" s="91">
        <f>SUM(C30:C31)</f>
        <v>0</v>
      </c>
      <c r="D32" s="91">
        <f t="shared" ref="D32:L32" si="6">SUM(D30:D31)</f>
        <v>1316866</v>
      </c>
      <c r="E32" s="92">
        <f t="shared" si="6"/>
        <v>1425253</v>
      </c>
      <c r="F32" s="93">
        <f t="shared" si="6"/>
        <v>0</v>
      </c>
      <c r="G32" s="91">
        <f t="shared" si="6"/>
        <v>0</v>
      </c>
      <c r="H32" s="92">
        <f t="shared" si="6"/>
        <v>0</v>
      </c>
      <c r="I32" s="90">
        <f t="shared" si="6"/>
        <v>0</v>
      </c>
      <c r="J32" s="94">
        <f t="shared" si="6"/>
        <v>0</v>
      </c>
      <c r="K32" s="1238">
        <f t="shared" si="6"/>
        <v>0</v>
      </c>
      <c r="L32" s="92">
        <f t="shared" si="6"/>
        <v>0</v>
      </c>
    </row>
    <row r="33" spans="1:12" ht="5.0999999999999996" customHeight="1" x14ac:dyDescent="0.25">
      <c r="A33" s="79"/>
      <c r="B33" s="171"/>
      <c r="C33" s="81"/>
      <c r="D33" s="81"/>
      <c r="E33" s="82"/>
      <c r="F33" s="83"/>
      <c r="G33" s="81"/>
      <c r="H33" s="82"/>
      <c r="I33" s="80"/>
      <c r="J33" s="84"/>
      <c r="K33" s="1946"/>
      <c r="L33" s="82"/>
    </row>
    <row r="34" spans="1:12" ht="11.25" customHeight="1" x14ac:dyDescent="0.25">
      <c r="A34" s="59" t="str">
        <f>'A6-FinPos'!A32</f>
        <v>Trade and other payables</v>
      </c>
      <c r="B34" s="171"/>
      <c r="C34" s="193"/>
      <c r="D34" s="193"/>
      <c r="E34" s="196"/>
      <c r="F34" s="195"/>
      <c r="G34" s="193"/>
      <c r="H34" s="196"/>
      <c r="I34" s="194"/>
      <c r="J34" s="283"/>
      <c r="K34" s="2539"/>
      <c r="L34" s="196"/>
    </row>
    <row r="35" spans="1:12" ht="11.25" customHeight="1" x14ac:dyDescent="0.25">
      <c r="A35" s="203" t="s">
        <v>912</v>
      </c>
      <c r="B35" s="171"/>
      <c r="C35" s="2088"/>
      <c r="D35" s="2088">
        <v>37356635</v>
      </c>
      <c r="E35" s="2106">
        <v>36263128</v>
      </c>
      <c r="F35" s="2107">
        <v>4000000</v>
      </c>
      <c r="G35" s="2107">
        <v>4000000</v>
      </c>
      <c r="H35" s="2107">
        <v>4000000</v>
      </c>
      <c r="I35" s="2107">
        <v>4000000</v>
      </c>
      <c r="J35" s="2090">
        <f>I35*106%</f>
        <v>4240000</v>
      </c>
      <c r="K35" s="2090">
        <f t="shared" ref="K35:L35" si="7">J35*106%</f>
        <v>4494400</v>
      </c>
      <c r="L35" s="2090">
        <f t="shared" si="7"/>
        <v>4764064</v>
      </c>
    </row>
    <row r="36" spans="1:12" ht="11.25" customHeight="1" x14ac:dyDescent="0.25">
      <c r="A36" s="203" t="s">
        <v>1021</v>
      </c>
      <c r="B36" s="171"/>
      <c r="C36" s="2088"/>
      <c r="D36" s="2088">
        <v>9426104</v>
      </c>
      <c r="E36" s="2106">
        <v>9626998</v>
      </c>
      <c r="F36" s="2107"/>
      <c r="G36" s="2088"/>
      <c r="H36" s="2106"/>
      <c r="I36" s="2108"/>
      <c r="J36" s="2090"/>
      <c r="K36" s="2092"/>
      <c r="L36" s="2106"/>
    </row>
    <row r="37" spans="1:12" ht="11.25" customHeight="1" x14ac:dyDescent="0.25">
      <c r="A37" s="203" t="s">
        <v>1446</v>
      </c>
      <c r="B37" s="171"/>
      <c r="C37" s="2088"/>
      <c r="D37" s="2088"/>
      <c r="E37" s="2106"/>
      <c r="F37" s="2107"/>
      <c r="G37" s="2088"/>
      <c r="H37" s="2106"/>
      <c r="I37" s="2108"/>
      <c r="J37" s="2090"/>
      <c r="K37" s="2092"/>
      <c r="L37" s="2106"/>
    </row>
    <row r="38" spans="1:12" ht="11.25" customHeight="1" x14ac:dyDescent="0.25">
      <c r="A38" s="204" t="str">
        <f>"Total "&amp;A34</f>
        <v>Total Trade and other payables</v>
      </c>
      <c r="B38" s="171">
        <v>2</v>
      </c>
      <c r="C38" s="91">
        <f t="shared" ref="C38:K38" si="8">SUM(C35:C37)</f>
        <v>0</v>
      </c>
      <c r="D38" s="91">
        <f t="shared" si="8"/>
        <v>46782739</v>
      </c>
      <c r="E38" s="92">
        <f t="shared" si="8"/>
        <v>45890126</v>
      </c>
      <c r="F38" s="93">
        <f t="shared" si="8"/>
        <v>4000000</v>
      </c>
      <c r="G38" s="91">
        <f t="shared" si="8"/>
        <v>4000000</v>
      </c>
      <c r="H38" s="92">
        <f t="shared" si="8"/>
        <v>4000000</v>
      </c>
      <c r="I38" s="90">
        <f t="shared" si="8"/>
        <v>4000000</v>
      </c>
      <c r="J38" s="94">
        <f t="shared" si="8"/>
        <v>4240000</v>
      </c>
      <c r="K38" s="1238">
        <f t="shared" si="8"/>
        <v>4494400</v>
      </c>
      <c r="L38" s="92">
        <f>SUM(L35:L37)</f>
        <v>4764064</v>
      </c>
    </row>
    <row r="39" spans="1:12" ht="5.0999999999999996" customHeight="1" x14ac:dyDescent="0.25">
      <c r="A39" s="79"/>
      <c r="B39" s="171"/>
      <c r="C39" s="81"/>
      <c r="D39" s="81"/>
      <c r="E39" s="82"/>
      <c r="F39" s="83"/>
      <c r="G39" s="81"/>
      <c r="H39" s="82"/>
      <c r="I39" s="80"/>
      <c r="J39" s="84"/>
      <c r="K39" s="1946"/>
      <c r="L39" s="82"/>
    </row>
    <row r="40" spans="1:12" ht="11.25" customHeight="1" x14ac:dyDescent="0.25">
      <c r="A40" s="59" t="str">
        <f>'A6-FinPos'!A36&amp;" - "&amp;'A6-FinPos'!A37</f>
        <v>Non current liabilities - Borrowing</v>
      </c>
      <c r="B40" s="171"/>
      <c r="C40" s="81"/>
      <c r="D40" s="81"/>
      <c r="E40" s="82"/>
      <c r="F40" s="83"/>
      <c r="G40" s="81"/>
      <c r="H40" s="82"/>
      <c r="I40" s="80"/>
      <c r="J40" s="84"/>
      <c r="K40" s="1946"/>
      <c r="L40" s="82"/>
    </row>
    <row r="41" spans="1:12" ht="11.25" customHeight="1" x14ac:dyDescent="0.25">
      <c r="A41" s="68" t="s">
        <v>1231</v>
      </c>
      <c r="B41" s="171">
        <v>4</v>
      </c>
      <c r="C41" s="2088"/>
      <c r="D41" s="2088">
        <v>5015160</v>
      </c>
      <c r="E41" s="2106">
        <v>3589907</v>
      </c>
      <c r="F41" s="2107"/>
      <c r="G41" s="2088"/>
      <c r="H41" s="2106"/>
      <c r="I41" s="2108"/>
      <c r="J41" s="2090"/>
      <c r="K41" s="2092"/>
      <c r="L41" s="2106"/>
    </row>
    <row r="42" spans="1:12" ht="11.25" customHeight="1" x14ac:dyDescent="0.25">
      <c r="A42" s="68" t="s">
        <v>997</v>
      </c>
      <c r="B42" s="171"/>
      <c r="C42" s="2088"/>
      <c r="D42" s="2088"/>
      <c r="E42" s="2106"/>
      <c r="F42" s="2107"/>
      <c r="G42" s="2088"/>
      <c r="H42" s="2106"/>
      <c r="I42" s="2108"/>
      <c r="J42" s="2090"/>
      <c r="K42" s="2092"/>
      <c r="L42" s="2106"/>
    </row>
    <row r="43" spans="1:12" ht="11.25" customHeight="1" x14ac:dyDescent="0.25">
      <c r="A43" s="204" t="str">
        <f>"Total "&amp;A40</f>
        <v>Total Non current liabilities - Borrowing</v>
      </c>
      <c r="B43" s="171"/>
      <c r="C43" s="91">
        <f>SUM(C41:C42)</f>
        <v>0</v>
      </c>
      <c r="D43" s="91">
        <f t="shared" ref="D43:L43" si="9">SUM(D41:D42)</f>
        <v>5015160</v>
      </c>
      <c r="E43" s="92">
        <f t="shared" si="9"/>
        <v>3589907</v>
      </c>
      <c r="F43" s="93">
        <f t="shared" si="9"/>
        <v>0</v>
      </c>
      <c r="G43" s="91">
        <f t="shared" si="9"/>
        <v>0</v>
      </c>
      <c r="H43" s="92">
        <f t="shared" si="9"/>
        <v>0</v>
      </c>
      <c r="I43" s="90">
        <f t="shared" si="9"/>
        <v>0</v>
      </c>
      <c r="J43" s="94">
        <f t="shared" si="9"/>
        <v>0</v>
      </c>
      <c r="K43" s="1238">
        <f t="shared" si="9"/>
        <v>0</v>
      </c>
      <c r="L43" s="92">
        <f t="shared" si="9"/>
        <v>0</v>
      </c>
    </row>
    <row r="44" spans="1:12" ht="5.0999999999999996" customHeight="1" x14ac:dyDescent="0.25">
      <c r="A44" s="79"/>
      <c r="B44" s="171"/>
      <c r="C44" s="81"/>
      <c r="D44" s="81"/>
      <c r="E44" s="82"/>
      <c r="F44" s="83"/>
      <c r="G44" s="81"/>
      <c r="H44" s="82"/>
      <c r="I44" s="80"/>
      <c r="J44" s="84"/>
      <c r="K44" s="1946"/>
      <c r="L44" s="82"/>
    </row>
    <row r="45" spans="1:12" ht="11.25" customHeight="1" x14ac:dyDescent="0.25">
      <c r="A45" s="59" t="str">
        <f>'A6-FinPos'!A38&amp;" - non-current"</f>
        <v>Provisions - non-current</v>
      </c>
      <c r="B45" s="171"/>
      <c r="C45" s="81"/>
      <c r="D45" s="81"/>
      <c r="E45" s="82"/>
      <c r="F45" s="83"/>
      <c r="G45" s="81"/>
      <c r="H45" s="82"/>
      <c r="I45" s="80"/>
      <c r="J45" s="84"/>
      <c r="K45" s="1946"/>
      <c r="L45" s="82"/>
    </row>
    <row r="46" spans="1:12" ht="11.25" customHeight="1" x14ac:dyDescent="0.25">
      <c r="A46" s="68" t="s">
        <v>1290</v>
      </c>
      <c r="B46" s="171"/>
      <c r="C46" s="2088"/>
      <c r="D46" s="2088"/>
      <c r="E46" s="2106"/>
      <c r="F46" s="2107"/>
      <c r="G46" s="2088"/>
      <c r="H46" s="2106"/>
      <c r="I46" s="2108"/>
      <c r="J46" s="2090"/>
      <c r="K46" s="2092"/>
      <c r="L46" s="2106"/>
    </row>
    <row r="47" spans="1:12" ht="11.25" customHeight="1" x14ac:dyDescent="0.25">
      <c r="A47" s="293" t="s">
        <v>1292</v>
      </c>
      <c r="B47" s="171"/>
      <c r="C47" s="81"/>
      <c r="D47" s="81"/>
      <c r="E47" s="82"/>
      <c r="F47" s="83"/>
      <c r="G47" s="81"/>
      <c r="H47" s="82"/>
      <c r="I47" s="80"/>
      <c r="J47" s="84"/>
      <c r="K47" s="1946"/>
      <c r="L47" s="82"/>
    </row>
    <row r="48" spans="1:12" ht="11.25" customHeight="1" x14ac:dyDescent="0.25">
      <c r="A48" s="2153" t="s">
        <v>264</v>
      </c>
      <c r="B48" s="171"/>
      <c r="C48" s="2088"/>
      <c r="D48" s="2088"/>
      <c r="E48" s="2106"/>
      <c r="F48" s="2107"/>
      <c r="G48" s="2088"/>
      <c r="H48" s="2106"/>
      <c r="I48" s="2108"/>
      <c r="J48" s="2090"/>
      <c r="K48" s="2092"/>
      <c r="L48" s="2106"/>
    </row>
    <row r="49" spans="1:12" ht="11.25" customHeight="1" x14ac:dyDescent="0.25">
      <c r="A49" s="2153" t="s">
        <v>276</v>
      </c>
      <c r="B49" s="171"/>
      <c r="C49" s="2088"/>
      <c r="D49" s="2088">
        <v>26668547</v>
      </c>
      <c r="E49" s="2106">
        <v>26618410</v>
      </c>
      <c r="F49" s="2107"/>
      <c r="G49" s="2088"/>
      <c r="H49" s="2106"/>
      <c r="I49" s="2108"/>
      <c r="J49" s="2129"/>
      <c r="K49" s="2092"/>
      <c r="L49" s="2106"/>
    </row>
    <row r="50" spans="1:12" ht="11.25" customHeight="1" x14ac:dyDescent="0.25">
      <c r="A50" s="204" t="str">
        <f>"Total "&amp;A45</f>
        <v>Total Provisions - non-current</v>
      </c>
      <c r="B50" s="171"/>
      <c r="C50" s="91">
        <f t="shared" ref="C50:L50" si="10">SUM(C46:C49)</f>
        <v>0</v>
      </c>
      <c r="D50" s="91">
        <f t="shared" si="10"/>
        <v>26668547</v>
      </c>
      <c r="E50" s="92">
        <f t="shared" si="10"/>
        <v>26618410</v>
      </c>
      <c r="F50" s="93">
        <f t="shared" si="10"/>
        <v>0</v>
      </c>
      <c r="G50" s="91">
        <f t="shared" si="10"/>
        <v>0</v>
      </c>
      <c r="H50" s="92">
        <f t="shared" si="10"/>
        <v>0</v>
      </c>
      <c r="I50" s="90">
        <f t="shared" si="10"/>
        <v>0</v>
      </c>
      <c r="J50" s="94">
        <f t="shared" si="10"/>
        <v>0</v>
      </c>
      <c r="K50" s="91">
        <f t="shared" si="10"/>
        <v>0</v>
      </c>
      <c r="L50" s="92">
        <f t="shared" si="10"/>
        <v>0</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1020</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2088"/>
      <c r="D54" s="2088"/>
      <c r="E54" s="2106"/>
      <c r="F54" s="2107">
        <v>108213000</v>
      </c>
      <c r="G54" s="2107">
        <v>108213000</v>
      </c>
      <c r="H54" s="2107">
        <v>108213000</v>
      </c>
      <c r="I54" s="2107">
        <v>108213000</v>
      </c>
      <c r="J54" s="2090">
        <f>I54*106%</f>
        <v>114705780</v>
      </c>
      <c r="K54" s="2090">
        <f t="shared" ref="K54:L54" si="11">J54*106%</f>
        <v>121588126.80000001</v>
      </c>
      <c r="L54" s="2090">
        <f t="shared" si="11"/>
        <v>128883414.40800002</v>
      </c>
    </row>
    <row r="55" spans="1:12" ht="11.25" customHeight="1" x14ac:dyDescent="0.25">
      <c r="A55" s="68" t="s">
        <v>1610</v>
      </c>
      <c r="B55" s="171"/>
      <c r="C55" s="2088"/>
      <c r="D55" s="2088"/>
      <c r="E55" s="2106"/>
      <c r="F55" s="2107"/>
      <c r="G55" s="2088"/>
      <c r="H55" s="2106"/>
      <c r="I55" s="2108"/>
      <c r="J55" s="2090"/>
      <c r="K55" s="2088"/>
      <c r="L55" s="2106"/>
    </row>
    <row r="56" spans="1:12" ht="11.25" customHeight="1" x14ac:dyDescent="0.25">
      <c r="A56" s="68" t="s">
        <v>1612</v>
      </c>
      <c r="B56" s="171"/>
      <c r="C56" s="81">
        <f>SUM(C54:C55)</f>
        <v>0</v>
      </c>
      <c r="D56" s="81">
        <f>SUM(D54:D55)</f>
        <v>0</v>
      </c>
      <c r="E56" s="82">
        <f>SUM(E54:E55)</f>
        <v>0</v>
      </c>
      <c r="F56" s="83">
        <f t="shared" ref="F56:L56" si="12">SUM(F54:F55)</f>
        <v>108213000</v>
      </c>
      <c r="G56" s="81">
        <f t="shared" si="12"/>
        <v>108213000</v>
      </c>
      <c r="H56" s="82">
        <f t="shared" si="12"/>
        <v>108213000</v>
      </c>
      <c r="I56" s="80">
        <f t="shared" si="12"/>
        <v>108213000</v>
      </c>
      <c r="J56" s="84">
        <f t="shared" si="12"/>
        <v>114705780</v>
      </c>
      <c r="K56" s="81">
        <f t="shared" si="12"/>
        <v>121588126.80000001</v>
      </c>
      <c r="L56" s="82">
        <f t="shared" si="12"/>
        <v>128883414.40800002</v>
      </c>
    </row>
    <row r="57" spans="1:12" ht="11.25" customHeight="1" x14ac:dyDescent="0.25">
      <c r="A57" s="68" t="str">
        <f>'A4-FinPerf RE'!A38</f>
        <v>Surplus/(Deficit)</v>
      </c>
      <c r="B57" s="171"/>
      <c r="C57" s="85">
        <f>'A4-FinPerf RE'!C46</f>
        <v>25483667.039999992</v>
      </c>
      <c r="D57" s="85">
        <f>'A4-FinPerf RE'!D46</f>
        <v>12280913</v>
      </c>
      <c r="E57" s="142">
        <f>'A4-FinPerf RE'!E46</f>
        <v>39856503</v>
      </c>
      <c r="F57" s="129">
        <f>'A4-FinPerf RE'!F46</f>
        <v>-48242641.989800066</v>
      </c>
      <c r="G57" s="81">
        <f>'A4-FinPerf RE'!G46</f>
        <v>-39693504.389999956</v>
      </c>
      <c r="H57" s="82">
        <f>'A4-FinPerf RE'!H46</f>
        <v>-39693504.389999956</v>
      </c>
      <c r="I57" s="80">
        <f>'A4-FinPerf RE'!I46</f>
        <v>-39693504.389999956</v>
      </c>
      <c r="J57" s="89">
        <f>'A4-FinPerf RE'!J46</f>
        <v>-52258000.047039956</v>
      </c>
      <c r="K57" s="85">
        <f>'A4-FinPerf RE'!K46</f>
        <v>-52151840.836162418</v>
      </c>
      <c r="L57" s="82">
        <f>'A4-FinPerf RE'!L46</f>
        <v>-55529409.924512148</v>
      </c>
    </row>
    <row r="58" spans="1:12" ht="11.25" customHeight="1" x14ac:dyDescent="0.25">
      <c r="A58" s="68" t="s">
        <v>1608</v>
      </c>
      <c r="B58" s="171"/>
      <c r="C58" s="2088"/>
      <c r="D58" s="2088"/>
      <c r="E58" s="2106"/>
      <c r="F58" s="2107">
        <v>48242641.989800103</v>
      </c>
      <c r="G58" s="2088">
        <v>39693504.390000001</v>
      </c>
      <c r="H58" s="2106">
        <v>39693504.390000001</v>
      </c>
      <c r="I58" s="2108">
        <v>39693504.390000001</v>
      </c>
      <c r="J58" s="2108">
        <v>52258000.047040001</v>
      </c>
      <c r="K58" s="2108">
        <v>51804859.969162397</v>
      </c>
      <c r="L58" s="2108">
        <v>55404341.122512102</v>
      </c>
    </row>
    <row r="59" spans="1:12" ht="11.25" customHeight="1" x14ac:dyDescent="0.25">
      <c r="A59" s="68" t="s">
        <v>1609</v>
      </c>
      <c r="B59" s="171"/>
      <c r="C59" s="2088"/>
      <c r="D59" s="2088"/>
      <c r="E59" s="2106"/>
      <c r="F59" s="2107"/>
      <c r="G59" s="2088"/>
      <c r="H59" s="2106"/>
      <c r="I59" s="2108"/>
      <c r="J59" s="2090"/>
      <c r="K59" s="2088"/>
      <c r="L59" s="2106"/>
    </row>
    <row r="60" spans="1:12" ht="11.25" customHeight="1" x14ac:dyDescent="0.25">
      <c r="A60" s="68" t="s">
        <v>1283</v>
      </c>
      <c r="B60" s="171"/>
      <c r="C60" s="2088"/>
      <c r="D60" s="2088"/>
      <c r="E60" s="2106"/>
      <c r="F60" s="2107"/>
      <c r="G60" s="2088"/>
      <c r="H60" s="2106"/>
      <c r="I60" s="2108"/>
      <c r="J60" s="2090"/>
      <c r="K60" s="2088"/>
      <c r="L60" s="2106"/>
    </row>
    <row r="61" spans="1:12" ht="11.25" customHeight="1" x14ac:dyDescent="0.25">
      <c r="A61" s="68" t="s">
        <v>1611</v>
      </c>
      <c r="B61" s="171"/>
      <c r="C61" s="2088">
        <v>101115909.95999999</v>
      </c>
      <c r="D61" s="2088">
        <v>878853721</v>
      </c>
      <c r="E61" s="2106">
        <v>898424455</v>
      </c>
      <c r="F61" s="2107"/>
      <c r="G61" s="2088"/>
      <c r="H61" s="2106"/>
      <c r="I61" s="2108"/>
      <c r="J61" s="2090">
        <v>31279808</v>
      </c>
      <c r="K61" s="2088">
        <v>31626788.864</v>
      </c>
      <c r="L61" s="2106">
        <v>31404876.800000001</v>
      </c>
    </row>
    <row r="62" spans="1:12" ht="11.25" customHeight="1" x14ac:dyDescent="0.25">
      <c r="A62" s="1146" t="s">
        <v>402</v>
      </c>
      <c r="B62" s="171">
        <v>1</v>
      </c>
      <c r="C62" s="91">
        <f>SUM(C56:C61)</f>
        <v>126599576.99999999</v>
      </c>
      <c r="D62" s="91">
        <f>SUM(D56:D61)</f>
        <v>891134634</v>
      </c>
      <c r="E62" s="92">
        <f t="shared" ref="E62:L62" si="13">SUM(E56:E61)</f>
        <v>938280958</v>
      </c>
      <c r="F62" s="93">
        <f t="shared" si="13"/>
        <v>108213000.00000003</v>
      </c>
      <c r="G62" s="91">
        <f t="shared" si="13"/>
        <v>108213000.00000004</v>
      </c>
      <c r="H62" s="92">
        <f t="shared" si="13"/>
        <v>108213000.00000004</v>
      </c>
      <c r="I62" s="90">
        <f t="shared" si="13"/>
        <v>108213000.00000004</v>
      </c>
      <c r="J62" s="94">
        <f t="shared" si="13"/>
        <v>145985588.00000006</v>
      </c>
      <c r="K62" s="91">
        <f t="shared" si="13"/>
        <v>152867934.79699999</v>
      </c>
      <c r="L62" s="92">
        <f t="shared" si="13"/>
        <v>160163222.40599999</v>
      </c>
    </row>
    <row r="63" spans="1:12" ht="11.25" customHeight="1" x14ac:dyDescent="0.25">
      <c r="A63" s="59" t="s">
        <v>706</v>
      </c>
      <c r="B63" s="173"/>
      <c r="C63" s="81"/>
      <c r="D63" s="81"/>
      <c r="E63" s="82"/>
      <c r="F63" s="83"/>
      <c r="G63" s="81"/>
      <c r="H63" s="82"/>
      <c r="I63" s="80"/>
      <c r="J63" s="84"/>
      <c r="K63" s="81"/>
      <c r="L63" s="82"/>
    </row>
    <row r="64" spans="1:12" ht="11.25" customHeight="1" x14ac:dyDescent="0.25">
      <c r="A64" s="203" t="s">
        <v>105</v>
      </c>
      <c r="B64" s="171"/>
      <c r="C64" s="2088"/>
      <c r="D64" s="2088"/>
      <c r="E64" s="2106"/>
      <c r="F64" s="2107"/>
      <c r="G64" s="2088"/>
      <c r="H64" s="2106"/>
      <c r="I64" s="2108"/>
      <c r="J64" s="2090"/>
      <c r="K64" s="2088"/>
      <c r="L64" s="2106"/>
    </row>
    <row r="65" spans="1:12" ht="11.25" customHeight="1" x14ac:dyDescent="0.25">
      <c r="A65" s="203" t="s">
        <v>1439</v>
      </c>
      <c r="B65" s="171"/>
      <c r="C65" s="2088"/>
      <c r="D65" s="2088"/>
      <c r="E65" s="2106"/>
      <c r="F65" s="2107"/>
      <c r="G65" s="2088"/>
      <c r="H65" s="2106"/>
      <c r="I65" s="2108"/>
      <c r="J65" s="2090"/>
      <c r="K65" s="2088"/>
      <c r="L65" s="2106"/>
    </row>
    <row r="66" spans="1:12" ht="11.25" customHeight="1" x14ac:dyDescent="0.25">
      <c r="A66" s="203" t="s">
        <v>1440</v>
      </c>
      <c r="B66" s="171"/>
      <c r="C66" s="2088"/>
      <c r="D66" s="2088"/>
      <c r="E66" s="2106"/>
      <c r="F66" s="2107"/>
      <c r="G66" s="2088"/>
      <c r="H66" s="2106"/>
      <c r="I66" s="2108"/>
      <c r="J66" s="2090"/>
      <c r="K66" s="2088"/>
      <c r="L66" s="2106"/>
    </row>
    <row r="67" spans="1:12" ht="11.25" customHeight="1" x14ac:dyDescent="0.25">
      <c r="A67" s="2153" t="s">
        <v>1969</v>
      </c>
      <c r="B67" s="171"/>
      <c r="C67" s="2088"/>
      <c r="D67" s="2088"/>
      <c r="E67" s="2106"/>
      <c r="F67" s="2107"/>
      <c r="G67" s="2088"/>
      <c r="H67" s="2106"/>
      <c r="I67" s="2108"/>
      <c r="J67" s="2090"/>
      <c r="K67" s="2088"/>
      <c r="L67" s="2106"/>
    </row>
    <row r="68" spans="1:12" ht="11.25" customHeight="1" x14ac:dyDescent="0.25">
      <c r="A68" s="203" t="s">
        <v>1438</v>
      </c>
      <c r="B68" s="171"/>
      <c r="C68" s="2088"/>
      <c r="D68" s="2088"/>
      <c r="E68" s="2106"/>
      <c r="F68" s="2107"/>
      <c r="G68" s="2088"/>
      <c r="H68" s="2106"/>
      <c r="I68" s="2108"/>
      <c r="J68" s="2090"/>
      <c r="K68" s="2088"/>
      <c r="L68" s="2106"/>
    </row>
    <row r="69" spans="1:12" ht="11.25" customHeight="1" x14ac:dyDescent="0.25">
      <c r="A69" s="204" t="s">
        <v>1034</v>
      </c>
      <c r="B69" s="171">
        <v>2</v>
      </c>
      <c r="C69" s="91">
        <f t="shared" ref="C69:L69" si="14">SUM(C64:C68)</f>
        <v>0</v>
      </c>
      <c r="D69" s="91">
        <f t="shared" si="14"/>
        <v>0</v>
      </c>
      <c r="E69" s="92">
        <f t="shared" si="14"/>
        <v>0</v>
      </c>
      <c r="F69" s="93">
        <f t="shared" si="14"/>
        <v>0</v>
      </c>
      <c r="G69" s="91">
        <f t="shared" si="14"/>
        <v>0</v>
      </c>
      <c r="H69" s="92">
        <f t="shared" si="14"/>
        <v>0</v>
      </c>
      <c r="I69" s="90">
        <f t="shared" si="14"/>
        <v>0</v>
      </c>
      <c r="J69" s="94">
        <f t="shared" si="14"/>
        <v>0</v>
      </c>
      <c r="K69" s="91">
        <f t="shared" si="14"/>
        <v>0</v>
      </c>
      <c r="L69" s="92">
        <f t="shared" si="14"/>
        <v>0</v>
      </c>
    </row>
    <row r="70" spans="1:12" x14ac:dyDescent="0.25">
      <c r="A70" s="306" t="str">
        <f>'A6-FinPos'!A48</f>
        <v>TOTAL COMMUNITY WEALTH/EQUITY</v>
      </c>
      <c r="B70" s="184">
        <v>2</v>
      </c>
      <c r="C70" s="108">
        <f t="shared" ref="C70:L70" si="15">C62+C69</f>
        <v>126599576.99999999</v>
      </c>
      <c r="D70" s="108">
        <f t="shared" si="15"/>
        <v>891134634</v>
      </c>
      <c r="E70" s="106">
        <f t="shared" si="15"/>
        <v>938280958</v>
      </c>
      <c r="F70" s="107">
        <f t="shared" si="15"/>
        <v>108213000.00000003</v>
      </c>
      <c r="G70" s="108">
        <f t="shared" si="15"/>
        <v>108213000.00000004</v>
      </c>
      <c r="H70" s="106">
        <f t="shared" si="15"/>
        <v>108213000.00000004</v>
      </c>
      <c r="I70" s="109">
        <f t="shared" si="15"/>
        <v>108213000.00000004</v>
      </c>
      <c r="J70" s="110">
        <f t="shared" si="15"/>
        <v>145985588.00000006</v>
      </c>
      <c r="K70" s="108">
        <f t="shared" si="15"/>
        <v>152867934.79699999</v>
      </c>
      <c r="L70" s="106">
        <f t="shared" si="15"/>
        <v>160163222.40599999</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1293</v>
      </c>
      <c r="B72" s="25"/>
      <c r="C72" s="25"/>
      <c r="D72" s="25"/>
      <c r="E72" s="25"/>
      <c r="F72" s="25"/>
      <c r="G72" s="25"/>
      <c r="H72" s="25"/>
      <c r="I72" s="25"/>
      <c r="J72" s="25"/>
      <c r="K72" s="25"/>
      <c r="L72" s="25"/>
    </row>
    <row r="73" spans="1:12" x14ac:dyDescent="0.25">
      <c r="A73" s="308" t="s">
        <v>1402</v>
      </c>
      <c r="B73" s="309"/>
      <c r="C73" s="2159"/>
      <c r="D73" s="2159"/>
      <c r="E73" s="2160"/>
      <c r="F73" s="2161"/>
      <c r="G73" s="2159"/>
      <c r="H73" s="2160"/>
      <c r="I73" s="2162"/>
      <c r="J73" s="2163"/>
      <c r="K73" s="2159"/>
      <c r="L73" s="2160"/>
    </row>
    <row r="74" spans="1:12" x14ac:dyDescent="0.25">
      <c r="A74" s="2157"/>
      <c r="B74" s="114"/>
      <c r="C74" s="2088"/>
      <c r="D74" s="2088"/>
      <c r="E74" s="2106"/>
      <c r="F74" s="2107"/>
      <c r="G74" s="2088"/>
      <c r="H74" s="2106"/>
      <c r="I74" s="2108"/>
      <c r="J74" s="2090"/>
      <c r="K74" s="2088"/>
      <c r="L74" s="2106"/>
    </row>
    <row r="75" spans="1:12" x14ac:dyDescent="0.25">
      <c r="A75" s="2158"/>
      <c r="B75" s="215"/>
      <c r="C75" s="2164"/>
      <c r="D75" s="2164"/>
      <c r="E75" s="2165"/>
      <c r="F75" s="2166"/>
      <c r="G75" s="2164"/>
      <c r="H75" s="2165"/>
      <c r="I75" s="2167"/>
      <c r="J75" s="2168"/>
      <c r="K75" s="2164"/>
      <c r="L75" s="2165"/>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996</v>
      </c>
      <c r="B79" s="114"/>
      <c r="C79" s="118"/>
      <c r="D79" s="118"/>
      <c r="E79" s="119"/>
      <c r="F79" s="119"/>
      <c r="G79" s="119"/>
      <c r="H79" s="119"/>
      <c r="I79" s="119"/>
      <c r="J79" s="119"/>
      <c r="K79" s="119"/>
      <c r="L79" s="119"/>
    </row>
    <row r="80" spans="1:12" ht="11.25" customHeight="1" x14ac:dyDescent="0.25">
      <c r="A80" s="165" t="s">
        <v>727</v>
      </c>
    </row>
    <row r="81" spans="1:12" ht="11.25" customHeight="1" x14ac:dyDescent="0.25">
      <c r="A81" s="314" t="s">
        <v>1455</v>
      </c>
      <c r="C81" s="222">
        <f>C70-'A6-FinPos'!C48</f>
        <v>0</v>
      </c>
      <c r="D81" s="222">
        <f>D70-'A6-FinPos'!D48</f>
        <v>0</v>
      </c>
      <c r="E81" s="222">
        <f>E70-'A6-FinPos'!E48</f>
        <v>0</v>
      </c>
      <c r="F81" s="222">
        <f>F70-'A6-FinPos'!F48</f>
        <v>0</v>
      </c>
      <c r="G81" s="315">
        <f>G70-'A6-FinPos'!G48</f>
        <v>0</v>
      </c>
      <c r="H81" s="315">
        <f>H70-'A6-FinPos'!H48</f>
        <v>0</v>
      </c>
      <c r="I81" s="315">
        <f>I70-'A6-FinPos'!I48</f>
        <v>0</v>
      </c>
      <c r="J81" s="315">
        <f>J70-'A6-FinPos'!J48</f>
        <v>2.7000606060028076E-3</v>
      </c>
      <c r="K81" s="315">
        <f>K70-'A6-FinPos'!K48</f>
        <v>-2.9999017715454102E-4</v>
      </c>
      <c r="L81" s="315">
        <f>L70-'A6-FinPos'!L48</f>
        <v>6.999671459197998E-4</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6" activePane="bottomRight" state="frozen"/>
      <selection pane="topRight"/>
      <selection pane="bottomLeft"/>
      <selection pane="bottomRight" activeCell="E6" sqref="E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LIM471 Ephraim Mogale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928</v>
      </c>
      <c r="B2" s="857" t="s">
        <v>1294</v>
      </c>
      <c r="C2" s="509" t="s">
        <v>1960</v>
      </c>
      <c r="D2" s="2682" t="str">
        <f>head27</f>
        <v>Ref</v>
      </c>
      <c r="E2" s="23" t="str">
        <f>head1b</f>
        <v>2012/13</v>
      </c>
      <c r="F2" s="28" t="str">
        <f>head1A</f>
        <v>2013/14</v>
      </c>
      <c r="G2" s="24" t="str">
        <f>Head1</f>
        <v>2014/15</v>
      </c>
      <c r="H2" s="2653" t="str">
        <f>Head2</f>
        <v>Current Year 2015/16</v>
      </c>
      <c r="I2" s="2654"/>
      <c r="J2" s="2658"/>
      <c r="K2" s="2650" t="str">
        <f>Head3</f>
        <v>2016/17 Medium Term Revenue &amp; Expenditure Framework</v>
      </c>
      <c r="L2" s="2651"/>
      <c r="M2" s="2652"/>
    </row>
    <row r="3" spans="1:22" ht="25.5" x14ac:dyDescent="0.25">
      <c r="A3" s="864" t="s">
        <v>625</v>
      </c>
      <c r="B3" s="863"/>
      <c r="C3" s="863"/>
      <c r="D3" s="2688"/>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25.5" x14ac:dyDescent="0.25">
      <c r="A4" s="2169" t="s">
        <v>2299</v>
      </c>
      <c r="B4" s="2170" t="s">
        <v>2300</v>
      </c>
      <c r="C4" s="2170"/>
      <c r="D4" s="318"/>
      <c r="E4" s="2171">
        <v>76140000</v>
      </c>
      <c r="F4" s="2171">
        <v>81384000</v>
      </c>
      <c r="G4" s="2172">
        <v>94712000</v>
      </c>
      <c r="H4" s="2171">
        <v>122308000</v>
      </c>
      <c r="I4" s="2171">
        <v>122308000</v>
      </c>
      <c r="J4" s="2171">
        <v>122308000</v>
      </c>
      <c r="K4" s="2175">
        <v>121374000</v>
      </c>
      <c r="L4" s="2171">
        <v>129936000</v>
      </c>
      <c r="M4" s="2172">
        <v>136610000</v>
      </c>
      <c r="N4" s="123"/>
      <c r="O4" s="123"/>
      <c r="P4" s="123"/>
      <c r="Q4" s="123"/>
      <c r="R4" s="123"/>
      <c r="S4" s="123"/>
      <c r="T4" s="123"/>
      <c r="U4" s="123"/>
      <c r="V4" s="317"/>
    </row>
    <row r="5" spans="1:22" ht="51" x14ac:dyDescent="0.25">
      <c r="A5" s="2169" t="s">
        <v>2301</v>
      </c>
      <c r="B5" s="2170" t="s">
        <v>2302</v>
      </c>
      <c r="C5" s="2170"/>
      <c r="D5" s="318"/>
      <c r="E5" s="2171">
        <v>63954176.969999999</v>
      </c>
      <c r="F5" s="2171">
        <v>70123000</v>
      </c>
      <c r="G5" s="2172">
        <v>77803000</v>
      </c>
      <c r="H5" s="2173">
        <v>85898000</v>
      </c>
      <c r="I5" s="2171">
        <v>86299000</v>
      </c>
      <c r="J5" s="2171">
        <v>86299000</v>
      </c>
      <c r="K5" s="2175">
        <v>92447000</v>
      </c>
      <c r="L5" s="2171">
        <v>97994000</v>
      </c>
      <c r="M5" s="2172">
        <v>103873000</v>
      </c>
      <c r="N5" s="123"/>
      <c r="O5" s="123"/>
      <c r="P5" s="123"/>
      <c r="Q5" s="123"/>
      <c r="R5" s="123"/>
      <c r="S5" s="123"/>
      <c r="T5" s="123"/>
      <c r="U5" s="123"/>
    </row>
    <row r="6" spans="1:22" ht="51" x14ac:dyDescent="0.25">
      <c r="A6" s="2169" t="s">
        <v>2303</v>
      </c>
      <c r="B6" s="2170" t="s">
        <v>2304</v>
      </c>
      <c r="C6" s="2170"/>
      <c r="D6" s="318"/>
      <c r="E6" s="2171"/>
      <c r="F6" s="2171"/>
      <c r="G6" s="2172"/>
      <c r="H6" s="2173"/>
      <c r="I6" s="2171"/>
      <c r="J6" s="2174"/>
      <c r="K6" s="2175"/>
      <c r="L6" s="2171"/>
      <c r="M6" s="2172"/>
      <c r="N6" s="123"/>
      <c r="O6" s="123"/>
      <c r="P6" s="123"/>
      <c r="Q6" s="123"/>
      <c r="R6" s="123"/>
      <c r="S6" s="123"/>
      <c r="T6" s="123"/>
      <c r="U6" s="123"/>
    </row>
    <row r="7" spans="1:22" ht="38.25" x14ac:dyDescent="0.25">
      <c r="A7" s="2169" t="s">
        <v>2305</v>
      </c>
      <c r="B7" s="2170" t="s">
        <v>2306</v>
      </c>
      <c r="C7" s="2170"/>
      <c r="D7" s="318"/>
      <c r="E7" s="2171"/>
      <c r="F7" s="2171"/>
      <c r="G7" s="2172"/>
      <c r="H7" s="2173"/>
      <c r="I7" s="2171"/>
      <c r="J7" s="2174"/>
      <c r="K7" s="2175"/>
      <c r="L7" s="2171"/>
      <c r="M7" s="2172"/>
      <c r="N7" s="123"/>
      <c r="O7" s="123"/>
      <c r="P7" s="123"/>
      <c r="Q7" s="123"/>
      <c r="R7" s="123"/>
      <c r="S7" s="123"/>
      <c r="T7" s="123"/>
      <c r="U7" s="123"/>
    </row>
    <row r="8" spans="1:22" ht="63.75" x14ac:dyDescent="0.25">
      <c r="A8" s="2169" t="s">
        <v>2307</v>
      </c>
      <c r="B8" s="2170" t="s">
        <v>2308</v>
      </c>
      <c r="C8" s="2170"/>
      <c r="D8" s="318"/>
      <c r="E8" s="2171"/>
      <c r="F8" s="2171"/>
      <c r="G8" s="2172"/>
      <c r="H8" s="2173"/>
      <c r="I8" s="2171"/>
      <c r="J8" s="2174"/>
      <c r="K8" s="2175"/>
      <c r="L8" s="2171"/>
      <c r="M8" s="2172"/>
      <c r="N8" s="123"/>
      <c r="O8" s="123"/>
      <c r="P8" s="123"/>
      <c r="Q8" s="123"/>
      <c r="R8" s="123"/>
      <c r="S8" s="123"/>
      <c r="T8" s="123"/>
      <c r="U8" s="123"/>
    </row>
    <row r="9" spans="1:22" ht="25.5" x14ac:dyDescent="0.25">
      <c r="A9" s="2169" t="s">
        <v>2309</v>
      </c>
      <c r="B9" s="2170" t="s">
        <v>2310</v>
      </c>
      <c r="C9" s="2170"/>
      <c r="D9" s="318"/>
      <c r="E9" s="2171">
        <v>27406000</v>
      </c>
      <c r="F9" s="2171">
        <v>17906000</v>
      </c>
      <c r="G9" s="2172">
        <v>31584000</v>
      </c>
      <c r="H9" s="2173">
        <v>32405000</v>
      </c>
      <c r="I9" s="2171">
        <v>35419000</v>
      </c>
      <c r="J9" s="2174">
        <v>35419000</v>
      </c>
      <c r="K9" s="2175">
        <v>31917000</v>
      </c>
      <c r="L9" s="2171">
        <v>34178000</v>
      </c>
      <c r="M9" s="2172">
        <v>37987000</v>
      </c>
      <c r="N9" s="123"/>
      <c r="O9" s="123"/>
      <c r="P9" s="123"/>
      <c r="Q9" s="123"/>
      <c r="R9" s="123"/>
      <c r="S9" s="123"/>
      <c r="T9" s="123"/>
      <c r="U9" s="123"/>
    </row>
    <row r="10" spans="1:22" ht="51" x14ac:dyDescent="0.25">
      <c r="A10" s="2169" t="s">
        <v>2311</v>
      </c>
      <c r="B10" s="2170" t="s">
        <v>2312</v>
      </c>
      <c r="C10" s="2170"/>
      <c r="D10" s="318"/>
      <c r="E10" s="2171"/>
      <c r="F10" s="2171"/>
      <c r="G10" s="2172"/>
      <c r="H10" s="2173"/>
      <c r="I10" s="2171"/>
      <c r="J10" s="2174"/>
      <c r="K10" s="2175"/>
      <c r="L10" s="2171"/>
      <c r="M10" s="2172"/>
      <c r="N10" s="123"/>
      <c r="O10" s="123"/>
      <c r="P10" s="123"/>
      <c r="Q10" s="123"/>
      <c r="R10" s="123"/>
      <c r="S10" s="123"/>
      <c r="T10" s="123"/>
      <c r="U10" s="123"/>
    </row>
    <row r="11" spans="1:22" ht="38.25" x14ac:dyDescent="0.25">
      <c r="A11" s="2169" t="s">
        <v>2313</v>
      </c>
      <c r="B11" s="2170" t="s">
        <v>2314</v>
      </c>
      <c r="C11" s="2170"/>
      <c r="D11" s="318"/>
      <c r="E11" s="2171"/>
      <c r="F11" s="2171"/>
      <c r="G11" s="2172"/>
      <c r="H11" s="2173"/>
      <c r="I11" s="2171"/>
      <c r="J11" s="2174"/>
      <c r="K11" s="2175"/>
      <c r="L11" s="2171"/>
      <c r="M11" s="2172"/>
      <c r="N11" s="123"/>
      <c r="O11" s="123"/>
      <c r="P11" s="123"/>
      <c r="Q11" s="123"/>
      <c r="R11" s="123"/>
      <c r="S11" s="123"/>
      <c r="T11" s="123"/>
      <c r="U11" s="123"/>
    </row>
    <row r="12" spans="1:22" ht="76.5" x14ac:dyDescent="0.25">
      <c r="A12" s="2169" t="s">
        <v>2315</v>
      </c>
      <c r="B12" s="2170" t="s">
        <v>2316</v>
      </c>
      <c r="C12" s="2170"/>
      <c r="D12" s="318"/>
      <c r="E12" s="2171"/>
      <c r="F12" s="2171"/>
      <c r="G12" s="2172"/>
      <c r="H12" s="2173"/>
      <c r="I12" s="2171"/>
      <c r="J12" s="2174"/>
      <c r="K12" s="2175"/>
      <c r="L12" s="2171"/>
      <c r="M12" s="2172"/>
      <c r="N12" s="123"/>
      <c r="O12" s="123"/>
      <c r="P12" s="123"/>
      <c r="Q12" s="123"/>
      <c r="R12" s="123"/>
      <c r="S12" s="123"/>
      <c r="T12" s="123"/>
      <c r="U12" s="123"/>
    </row>
    <row r="13" spans="1:22" ht="53.25" customHeight="1" x14ac:dyDescent="0.25">
      <c r="A13" s="2169" t="s">
        <v>2317</v>
      </c>
      <c r="B13" s="2170" t="s">
        <v>2318</v>
      </c>
      <c r="C13" s="2170"/>
      <c r="D13" s="318"/>
      <c r="E13" s="2171">
        <v>11389000</v>
      </c>
      <c r="F13" s="2171">
        <v>11133000</v>
      </c>
      <c r="G13" s="2172">
        <v>14631000</v>
      </c>
      <c r="H13" s="2173">
        <v>16563000</v>
      </c>
      <c r="I13" s="2171">
        <v>15116000</v>
      </c>
      <c r="J13" s="2171">
        <v>15116000</v>
      </c>
      <c r="K13" s="2175">
        <v>16031000</v>
      </c>
      <c r="L13" s="2171">
        <v>16994000</v>
      </c>
      <c r="M13" s="2172">
        <v>18013000</v>
      </c>
      <c r="N13" s="123"/>
      <c r="O13" s="123"/>
      <c r="P13" s="123"/>
      <c r="Q13" s="123"/>
      <c r="R13" s="123"/>
      <c r="S13" s="123"/>
      <c r="T13" s="123"/>
      <c r="U13" s="123"/>
    </row>
    <row r="14" spans="1:22" ht="51" x14ac:dyDescent="0.25">
      <c r="A14" s="2169" t="s">
        <v>2319</v>
      </c>
      <c r="B14" s="2170" t="s">
        <v>2320</v>
      </c>
      <c r="C14" s="2170"/>
      <c r="D14" s="318"/>
      <c r="E14" s="2171"/>
      <c r="F14" s="2171"/>
      <c r="G14" s="2172"/>
      <c r="H14" s="2173"/>
      <c r="I14" s="2171"/>
      <c r="J14" s="2174"/>
      <c r="K14" s="2175"/>
      <c r="L14" s="2171"/>
      <c r="M14" s="2172"/>
      <c r="N14" s="123"/>
      <c r="O14" s="123"/>
      <c r="P14" s="123"/>
      <c r="Q14" s="123"/>
      <c r="R14" s="123"/>
      <c r="S14" s="123"/>
      <c r="T14" s="123"/>
      <c r="U14" s="123"/>
    </row>
    <row r="15" spans="1:22" ht="63.75" x14ac:dyDescent="0.25">
      <c r="A15" s="2169" t="s">
        <v>2321</v>
      </c>
      <c r="B15" s="2170" t="s">
        <v>2322</v>
      </c>
      <c r="C15" s="2170"/>
      <c r="D15" s="318"/>
      <c r="E15" s="2171"/>
      <c r="F15" s="2171"/>
      <c r="G15" s="2172"/>
      <c r="H15" s="2173"/>
      <c r="I15" s="2171"/>
      <c r="J15" s="2174"/>
      <c r="K15" s="2175"/>
      <c r="L15" s="2171"/>
      <c r="M15" s="2172"/>
      <c r="N15" s="123"/>
      <c r="O15" s="123"/>
      <c r="P15" s="123"/>
      <c r="Q15" s="123"/>
      <c r="R15" s="123"/>
      <c r="S15" s="123"/>
      <c r="T15" s="123"/>
      <c r="U15" s="123"/>
    </row>
    <row r="16" spans="1:22" ht="63.75" x14ac:dyDescent="0.25">
      <c r="A16" s="2169" t="s">
        <v>2323</v>
      </c>
      <c r="B16" s="2170" t="s">
        <v>2324</v>
      </c>
      <c r="C16" s="2170"/>
      <c r="D16" s="318"/>
      <c r="E16" s="2171"/>
      <c r="F16" s="2171"/>
      <c r="G16" s="2172"/>
      <c r="H16" s="2173"/>
      <c r="I16" s="2171"/>
      <c r="J16" s="2174"/>
      <c r="K16" s="2175"/>
      <c r="L16" s="2171"/>
      <c r="M16" s="2172"/>
      <c r="N16" s="123"/>
      <c r="O16" s="123"/>
      <c r="P16" s="123"/>
      <c r="Q16" s="123"/>
      <c r="R16" s="123"/>
      <c r="S16" s="123"/>
      <c r="T16" s="123"/>
      <c r="U16" s="123"/>
    </row>
    <row r="17" spans="1:21" x14ac:dyDescent="0.25">
      <c r="A17" s="2169"/>
      <c r="B17" s="2170"/>
      <c r="C17" s="2170"/>
      <c r="D17" s="318"/>
      <c r="E17" s="2171"/>
      <c r="F17" s="2171"/>
      <c r="G17" s="2172"/>
      <c r="H17" s="2173"/>
      <c r="I17" s="2171"/>
      <c r="J17" s="2174"/>
      <c r="K17" s="2175"/>
      <c r="L17" s="2171"/>
      <c r="M17" s="2172"/>
      <c r="N17" s="123"/>
      <c r="O17" s="123"/>
      <c r="P17" s="123"/>
      <c r="Q17" s="123"/>
      <c r="R17" s="123"/>
      <c r="S17" s="123"/>
      <c r="T17" s="123"/>
      <c r="U17" s="123"/>
    </row>
    <row r="18" spans="1:21" x14ac:dyDescent="0.25">
      <c r="A18" s="2169"/>
      <c r="B18" s="2170"/>
      <c r="C18" s="2170"/>
      <c r="D18" s="318"/>
      <c r="E18" s="2171"/>
      <c r="F18" s="2171"/>
      <c r="G18" s="2172"/>
      <c r="H18" s="2173"/>
      <c r="I18" s="2171"/>
      <c r="J18" s="2174"/>
      <c r="K18" s="2175"/>
      <c r="L18" s="2171"/>
      <c r="M18" s="2172"/>
      <c r="N18" s="123"/>
      <c r="O18" s="123"/>
      <c r="P18" s="123"/>
      <c r="Q18" s="123"/>
      <c r="R18" s="123"/>
      <c r="S18" s="123"/>
      <c r="T18" s="123"/>
      <c r="U18" s="123"/>
    </row>
    <row r="19" spans="1:21" x14ac:dyDescent="0.25">
      <c r="A19" s="2169"/>
      <c r="B19" s="2170"/>
      <c r="C19" s="2170"/>
      <c r="D19" s="318"/>
      <c r="E19" s="2171"/>
      <c r="F19" s="2171"/>
      <c r="G19" s="2172"/>
      <c r="H19" s="2173"/>
      <c r="I19" s="2171"/>
      <c r="J19" s="2174"/>
      <c r="K19" s="2175"/>
      <c r="L19" s="2171"/>
      <c r="M19" s="2172"/>
      <c r="N19" s="123"/>
      <c r="O19" s="123"/>
      <c r="P19" s="123"/>
      <c r="Q19" s="123"/>
      <c r="R19" s="123"/>
      <c r="S19" s="123"/>
      <c r="T19" s="123"/>
      <c r="U19" s="123"/>
    </row>
    <row r="20" spans="1:21" x14ac:dyDescent="0.25">
      <c r="A20" s="2169"/>
      <c r="B20" s="2170"/>
      <c r="C20" s="2170"/>
      <c r="D20" s="318"/>
      <c r="E20" s="2171"/>
      <c r="F20" s="2171"/>
      <c r="G20" s="2172"/>
      <c r="H20" s="2173"/>
      <c r="I20" s="2171"/>
      <c r="J20" s="2174"/>
      <c r="K20" s="2175"/>
      <c r="L20" s="2171"/>
      <c r="M20" s="2172"/>
      <c r="N20" s="123"/>
      <c r="O20" s="123"/>
      <c r="P20" s="123"/>
      <c r="Q20" s="123"/>
      <c r="R20" s="123"/>
      <c r="S20" s="123"/>
      <c r="T20" s="123"/>
      <c r="U20" s="123"/>
    </row>
    <row r="21" spans="1:21" x14ac:dyDescent="0.25">
      <c r="A21" s="1759" t="s">
        <v>1966</v>
      </c>
      <c r="B21" s="1760"/>
      <c r="C21" s="1761"/>
      <c r="D21" s="318">
        <v>2</v>
      </c>
      <c r="E21" s="2176"/>
      <c r="F21" s="2176"/>
      <c r="G21" s="2177"/>
      <c r="H21" s="2178"/>
      <c r="I21" s="2176"/>
      <c r="J21" s="2179"/>
      <c r="K21" s="2180"/>
      <c r="L21" s="2176"/>
      <c r="M21" s="2177"/>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178889176.97</v>
      </c>
      <c r="F22" s="108">
        <f t="shared" si="0"/>
        <v>180546000</v>
      </c>
      <c r="G22" s="106">
        <f t="shared" si="0"/>
        <v>218730000</v>
      </c>
      <c r="H22" s="107">
        <f t="shared" si="0"/>
        <v>257174000</v>
      </c>
      <c r="I22" s="108">
        <f t="shared" si="0"/>
        <v>259142000</v>
      </c>
      <c r="J22" s="109">
        <f t="shared" si="0"/>
        <v>259142000</v>
      </c>
      <c r="K22" s="110">
        <f t="shared" si="0"/>
        <v>261769000</v>
      </c>
      <c r="L22" s="108">
        <f t="shared" si="0"/>
        <v>279102000</v>
      </c>
      <c r="M22" s="106">
        <f t="shared" si="0"/>
        <v>296483000</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1967</v>
      </c>
    </row>
    <row r="26" spans="1:21" x14ac:dyDescent="0.25">
      <c r="A26" s="166" t="s">
        <v>931</v>
      </c>
      <c r="B26" s="124"/>
      <c r="C26" s="124"/>
      <c r="D26" s="114"/>
      <c r="E26" s="80">
        <f>E22-'A4-FinPerf RE'!C60</f>
        <v>0</v>
      </c>
      <c r="F26" s="80">
        <f>F22-'A4-FinPerf RE'!D60</f>
        <v>492</v>
      </c>
      <c r="G26" s="133">
        <f>G22-'A4-FinPerf RE'!E60</f>
        <v>-213</v>
      </c>
      <c r="H26" s="133">
        <f>H22-'A4-FinPerf RE'!F60</f>
        <v>-350.69020000100136</v>
      </c>
      <c r="I26" s="133">
        <f>I22-'A4-FinPerf RE'!G60</f>
        <v>138.40000000596046</v>
      </c>
      <c r="J26" s="133">
        <f>J22-'A4-FinPerf RE'!H60</f>
        <v>138.40000000596046</v>
      </c>
      <c r="K26" s="133">
        <f>K22-'A4-FinPerf RE'!J60</f>
        <v>134.63667997717857</v>
      </c>
      <c r="L26" s="133">
        <f>L22-'A4-FinPerf RE'!K60</f>
        <v>462.62508082389832</v>
      </c>
      <c r="M26" s="133">
        <f>M22-'A4-FinPerf RE'!L60</f>
        <v>269.94218564033508</v>
      </c>
    </row>
    <row r="27" spans="1:21" x14ac:dyDescent="0.25">
      <c r="E27" s="326"/>
    </row>
    <row r="28" spans="1:21"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9" activePane="bottomRight" state="frozen"/>
      <selection pane="topRight"/>
      <selection pane="bottomLeft"/>
      <selection pane="bottomRight" activeCell="M11" sqref="M11"/>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LIM471 Ephraim Mogale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928</v>
      </c>
      <c r="B2" s="857" t="s">
        <v>1294</v>
      </c>
      <c r="C2" s="509" t="s">
        <v>1960</v>
      </c>
      <c r="D2" s="2682" t="str">
        <f>head27</f>
        <v>Ref</v>
      </c>
      <c r="E2" s="23" t="str">
        <f>head1b</f>
        <v>2012/13</v>
      </c>
      <c r="F2" s="28" t="str">
        <f>head1A</f>
        <v>2013/14</v>
      </c>
      <c r="G2" s="24" t="str">
        <f>Head1</f>
        <v>2014/15</v>
      </c>
      <c r="H2" s="2653" t="str">
        <f>Head2</f>
        <v>Current Year 2015/16</v>
      </c>
      <c r="I2" s="2654"/>
      <c r="J2" s="2658"/>
      <c r="K2" s="2650" t="str">
        <f>Head3</f>
        <v>2016/17 Medium Term Revenue &amp; Expenditure Framework</v>
      </c>
      <c r="L2" s="2651"/>
      <c r="M2" s="2652"/>
      <c r="N2" s="124"/>
      <c r="O2" s="124"/>
      <c r="P2" s="124"/>
      <c r="Q2" s="124"/>
    </row>
    <row r="3" spans="1:25" ht="25.5" x14ac:dyDescent="0.25">
      <c r="A3" s="864" t="s">
        <v>625</v>
      </c>
      <c r="B3" s="863"/>
      <c r="C3" s="863"/>
      <c r="D3" s="2688"/>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169" t="s">
        <v>2299</v>
      </c>
      <c r="B4" s="2170" t="s">
        <v>2300</v>
      </c>
      <c r="C4" s="2170"/>
      <c r="D4" s="318"/>
      <c r="E4" s="2171"/>
      <c r="F4" s="2171"/>
      <c r="G4" s="2172"/>
      <c r="H4" s="2173"/>
      <c r="I4" s="2171"/>
      <c r="J4" s="2174"/>
      <c r="K4" s="2175"/>
      <c r="L4" s="2171"/>
      <c r="M4" s="2172"/>
      <c r="N4" s="321"/>
      <c r="O4" s="321"/>
      <c r="P4" s="133"/>
      <c r="Q4" s="133"/>
      <c r="R4" s="133"/>
      <c r="S4" s="133"/>
      <c r="T4" s="133"/>
      <c r="U4" s="133"/>
      <c r="V4" s="133"/>
      <c r="W4" s="133"/>
      <c r="X4" s="133"/>
      <c r="Y4" s="322"/>
    </row>
    <row r="5" spans="1:25" ht="42.75" customHeight="1" x14ac:dyDescent="0.25">
      <c r="A5" s="2169"/>
      <c r="B5" s="2170"/>
      <c r="C5" s="2170"/>
      <c r="D5" s="318"/>
      <c r="E5" s="2171"/>
      <c r="F5" s="2171"/>
      <c r="G5" s="2172"/>
      <c r="H5" s="2173"/>
      <c r="I5" s="2171"/>
      <c r="J5" s="2174"/>
      <c r="K5" s="2175"/>
      <c r="L5" s="2171"/>
      <c r="M5" s="2172"/>
      <c r="N5" s="323"/>
      <c r="O5" s="323"/>
      <c r="P5" s="133"/>
      <c r="Q5" s="133"/>
      <c r="R5" s="133"/>
      <c r="S5" s="133"/>
      <c r="T5" s="133"/>
      <c r="U5" s="133"/>
      <c r="V5" s="133"/>
      <c r="W5" s="133"/>
      <c r="X5" s="133"/>
    </row>
    <row r="6" spans="1:25" ht="42.75" customHeight="1" x14ac:dyDescent="0.25">
      <c r="A6" s="2169" t="s">
        <v>2301</v>
      </c>
      <c r="B6" s="2170" t="s">
        <v>2302</v>
      </c>
      <c r="C6" s="2170"/>
      <c r="D6" s="318"/>
      <c r="E6" s="2171">
        <v>78030000</v>
      </c>
      <c r="F6" s="2171">
        <v>94142000</v>
      </c>
      <c r="G6" s="2172">
        <v>102367000</v>
      </c>
      <c r="H6" s="2173">
        <v>118265000</v>
      </c>
      <c r="I6" s="2171">
        <v>113944000</v>
      </c>
      <c r="J6" s="2174">
        <v>113944000</v>
      </c>
      <c r="K6" s="2175">
        <v>126044000</v>
      </c>
      <c r="L6" s="2171">
        <v>133606000</v>
      </c>
      <c r="M6" s="2172">
        <v>141623000</v>
      </c>
      <c r="N6" s="323"/>
      <c r="O6" s="323"/>
      <c r="P6" s="133"/>
      <c r="Q6" s="133"/>
      <c r="R6" s="133"/>
      <c r="S6" s="133"/>
      <c r="T6" s="133"/>
      <c r="U6" s="133"/>
      <c r="V6" s="133"/>
      <c r="W6" s="133"/>
      <c r="X6" s="133"/>
    </row>
    <row r="7" spans="1:25" ht="42.75" customHeight="1" x14ac:dyDescent="0.25">
      <c r="A7" s="2169" t="s">
        <v>2303</v>
      </c>
      <c r="B7" s="2170" t="s">
        <v>2304</v>
      </c>
      <c r="C7" s="2170"/>
      <c r="D7" s="318"/>
      <c r="E7" s="2171">
        <v>39606000</v>
      </c>
      <c r="F7" s="2171">
        <v>44028000</v>
      </c>
      <c r="G7" s="2172">
        <v>43666000</v>
      </c>
      <c r="H7" s="2173">
        <v>49300000</v>
      </c>
      <c r="I7" s="2171">
        <v>49300000</v>
      </c>
      <c r="J7" s="2174">
        <v>49300000</v>
      </c>
      <c r="K7" s="2175">
        <v>52258000</v>
      </c>
      <c r="L7" s="2171">
        <v>55394000</v>
      </c>
      <c r="M7" s="2172">
        <v>58717000</v>
      </c>
      <c r="N7" s="324"/>
      <c r="O7" s="324"/>
      <c r="P7" s="133"/>
      <c r="Q7" s="133"/>
      <c r="R7" s="133"/>
      <c r="S7" s="133"/>
      <c r="T7" s="133"/>
      <c r="U7" s="133"/>
      <c r="V7" s="133"/>
      <c r="W7" s="133"/>
      <c r="X7" s="133"/>
    </row>
    <row r="8" spans="1:25" ht="42.75" customHeight="1" x14ac:dyDescent="0.25">
      <c r="A8" s="2169" t="s">
        <v>2305</v>
      </c>
      <c r="B8" s="2170" t="s">
        <v>2306</v>
      </c>
      <c r="C8" s="2170"/>
      <c r="D8" s="318"/>
      <c r="E8" s="2171"/>
      <c r="F8" s="2171"/>
      <c r="G8" s="2172"/>
      <c r="H8" s="2173"/>
      <c r="I8" s="2171"/>
      <c r="J8" s="2174"/>
      <c r="K8" s="2175"/>
      <c r="L8" s="2171"/>
      <c r="M8" s="2172"/>
      <c r="N8" s="324"/>
      <c r="O8" s="324"/>
      <c r="P8" s="133"/>
      <c r="Q8" s="133"/>
      <c r="R8" s="133"/>
      <c r="S8" s="133"/>
      <c r="T8" s="133"/>
      <c r="U8" s="133"/>
      <c r="V8" s="133"/>
      <c r="W8" s="133"/>
      <c r="X8" s="133"/>
    </row>
    <row r="9" spans="1:25" ht="42.75" customHeight="1" x14ac:dyDescent="0.25">
      <c r="A9" s="2169" t="s">
        <v>2307</v>
      </c>
      <c r="B9" s="2170" t="s">
        <v>2308</v>
      </c>
      <c r="C9" s="2170"/>
      <c r="D9" s="318"/>
      <c r="E9" s="2171"/>
      <c r="F9" s="2171">
        <v>1174000</v>
      </c>
      <c r="G9" s="2172">
        <v>1588000</v>
      </c>
      <c r="H9" s="2173">
        <v>2467000</v>
      </c>
      <c r="I9" s="2171">
        <v>2467000</v>
      </c>
      <c r="J9" s="2174">
        <v>2467000</v>
      </c>
      <c r="K9" s="2175">
        <v>2750000</v>
      </c>
      <c r="L9" s="2171">
        <v>2915000</v>
      </c>
      <c r="M9" s="2172">
        <v>3090000</v>
      </c>
      <c r="N9" s="324"/>
      <c r="O9" s="324"/>
      <c r="P9" s="133"/>
      <c r="Q9" s="133"/>
      <c r="R9" s="133"/>
      <c r="S9" s="133"/>
      <c r="T9" s="133"/>
      <c r="U9" s="133"/>
      <c r="V9" s="133"/>
      <c r="W9" s="133"/>
      <c r="X9" s="133"/>
    </row>
    <row r="10" spans="1:25" ht="42.75" customHeight="1" x14ac:dyDescent="0.25">
      <c r="A10" s="2169" t="s">
        <v>2309</v>
      </c>
      <c r="B10" s="2170" t="s">
        <v>2310</v>
      </c>
      <c r="C10" s="2170"/>
      <c r="D10" s="318"/>
      <c r="E10" s="2171">
        <v>35770000</v>
      </c>
      <c r="F10" s="2171">
        <v>28921000</v>
      </c>
      <c r="G10" s="2172">
        <v>31253000</v>
      </c>
      <c r="H10" s="2173">
        <f>137852000-2467000</f>
        <v>135385000</v>
      </c>
      <c r="I10" s="2173">
        <f>137852000-2467000-2260634.01</f>
        <v>133124365.98999999</v>
      </c>
      <c r="J10" s="2173">
        <f>137852000-2467000-2260634.01</f>
        <v>133124365.98999999</v>
      </c>
      <c r="K10" s="2175">
        <v>132975000</v>
      </c>
      <c r="L10" s="2171">
        <v>139338000</v>
      </c>
      <c r="M10" s="2172">
        <v>148582000</v>
      </c>
      <c r="N10" s="124"/>
      <c r="O10" s="124"/>
      <c r="P10" s="133"/>
      <c r="Q10" s="133"/>
      <c r="R10" s="133"/>
      <c r="S10" s="133"/>
      <c r="T10" s="133"/>
      <c r="U10" s="133"/>
      <c r="V10" s="133"/>
      <c r="W10" s="133"/>
      <c r="X10" s="133"/>
    </row>
    <row r="11" spans="1:25" ht="42.75" customHeight="1" x14ac:dyDescent="0.25">
      <c r="A11" s="2169" t="s">
        <v>2311</v>
      </c>
      <c r="B11" s="2170" t="s">
        <v>2312</v>
      </c>
      <c r="C11" s="2170"/>
      <c r="D11" s="318"/>
      <c r="E11" s="2171"/>
      <c r="F11" s="2171"/>
      <c r="G11" s="2172"/>
      <c r="H11" s="2173"/>
      <c r="I11" s="2171"/>
      <c r="J11" s="2174"/>
      <c r="K11" s="2175"/>
      <c r="L11" s="2171"/>
      <c r="M11" s="2172"/>
      <c r="N11" s="124"/>
      <c r="O11" s="124"/>
      <c r="P11" s="133"/>
      <c r="Q11" s="133"/>
      <c r="R11" s="133"/>
      <c r="S11" s="133"/>
      <c r="T11" s="133"/>
      <c r="U11" s="133"/>
      <c r="V11" s="133"/>
      <c r="W11" s="133"/>
      <c r="X11" s="133"/>
    </row>
    <row r="12" spans="1:25" ht="42.75" customHeight="1" x14ac:dyDescent="0.25">
      <c r="A12" s="2169" t="s">
        <v>2313</v>
      </c>
      <c r="B12" s="2170" t="s">
        <v>2314</v>
      </c>
      <c r="C12" s="2170"/>
      <c r="D12" s="318"/>
      <c r="E12" s="2171"/>
      <c r="F12" s="2171"/>
      <c r="G12" s="2172"/>
      <c r="H12" s="2173"/>
      <c r="I12" s="2171"/>
      <c r="J12" s="2174"/>
      <c r="K12" s="2175"/>
      <c r="L12" s="2171"/>
      <c r="M12" s="2172"/>
      <c r="N12" s="124"/>
      <c r="O12" s="124"/>
      <c r="P12" s="133"/>
      <c r="Q12" s="133"/>
      <c r="R12" s="133"/>
      <c r="S12" s="133"/>
      <c r="T12" s="133"/>
      <c r="U12" s="133"/>
      <c r="V12" s="133"/>
      <c r="W12" s="133"/>
      <c r="X12" s="133"/>
    </row>
    <row r="13" spans="1:25" ht="42.75" customHeight="1" x14ac:dyDescent="0.25">
      <c r="A13" s="2169" t="s">
        <v>2315</v>
      </c>
      <c r="B13" s="2170" t="s">
        <v>2316</v>
      </c>
      <c r="C13" s="2170"/>
      <c r="D13" s="318"/>
      <c r="E13" s="2171"/>
      <c r="F13" s="2171"/>
      <c r="G13" s="2172"/>
      <c r="H13" s="2173"/>
      <c r="I13" s="2171"/>
      <c r="J13" s="2174"/>
      <c r="K13" s="2175"/>
      <c r="L13" s="2171"/>
      <c r="M13" s="2172"/>
      <c r="N13" s="124"/>
      <c r="O13" s="124"/>
      <c r="P13" s="80"/>
      <c r="Q13" s="80"/>
      <c r="R13" s="80"/>
      <c r="S13" s="80"/>
      <c r="T13" s="80"/>
      <c r="U13" s="80"/>
      <c r="V13" s="80"/>
      <c r="W13" s="80"/>
      <c r="X13" s="80"/>
    </row>
    <row r="14" spans="1:25" ht="42.75" customHeight="1" x14ac:dyDescent="0.25">
      <c r="A14" s="2169" t="s">
        <v>2317</v>
      </c>
      <c r="B14" s="2170" t="s">
        <v>2318</v>
      </c>
      <c r="C14" s="2170"/>
      <c r="D14" s="318"/>
      <c r="E14" s="2171"/>
      <c r="F14" s="2171"/>
      <c r="G14" s="2172"/>
      <c r="H14" s="2173"/>
      <c r="I14" s="2171"/>
      <c r="J14" s="2174"/>
      <c r="K14" s="2175"/>
      <c r="L14" s="2171"/>
      <c r="M14" s="2172"/>
      <c r="N14" s="124"/>
      <c r="O14" s="124"/>
      <c r="P14" s="133"/>
      <c r="Q14" s="133"/>
      <c r="R14" s="133"/>
      <c r="S14" s="133"/>
      <c r="T14" s="133"/>
      <c r="U14" s="133"/>
      <c r="V14" s="133"/>
      <c r="W14" s="133"/>
      <c r="X14" s="133"/>
    </row>
    <row r="15" spans="1:25" ht="42.75" customHeight="1" x14ac:dyDescent="0.25">
      <c r="A15" s="2169" t="s">
        <v>2319</v>
      </c>
      <c r="B15" s="2170" t="s">
        <v>2320</v>
      </c>
      <c r="C15" s="2170"/>
      <c r="D15" s="318"/>
      <c r="E15" s="2171"/>
      <c r="F15" s="2171"/>
      <c r="G15" s="2172"/>
      <c r="H15" s="2173"/>
      <c r="I15" s="2171"/>
      <c r="J15" s="2174"/>
      <c r="K15" s="2175"/>
      <c r="L15" s="2171"/>
      <c r="M15" s="2172"/>
      <c r="N15" s="124"/>
      <c r="O15" s="124"/>
      <c r="P15" s="124"/>
      <c r="Q15" s="124"/>
    </row>
    <row r="16" spans="1:25" ht="42.75" customHeight="1" x14ac:dyDescent="0.25">
      <c r="A16" s="2169" t="s">
        <v>2321</v>
      </c>
      <c r="B16" s="2170" t="s">
        <v>2322</v>
      </c>
      <c r="C16" s="2170"/>
      <c r="D16" s="318"/>
      <c r="E16" s="2171"/>
      <c r="F16" s="2171"/>
      <c r="G16" s="2172"/>
      <c r="H16" s="2173"/>
      <c r="I16" s="2171"/>
      <c r="J16" s="2174"/>
      <c r="K16" s="2175"/>
      <c r="L16" s="2171"/>
      <c r="M16" s="2172"/>
      <c r="N16" s="124"/>
      <c r="O16" s="124"/>
      <c r="P16" s="124"/>
      <c r="Q16" s="124"/>
    </row>
    <row r="17" spans="1:17" ht="42.75" customHeight="1" x14ac:dyDescent="0.25">
      <c r="A17" s="2169" t="s">
        <v>2323</v>
      </c>
      <c r="B17" s="2170" t="s">
        <v>2324</v>
      </c>
      <c r="C17" s="2170"/>
      <c r="D17" s="318"/>
      <c r="E17" s="2171"/>
      <c r="F17" s="2171"/>
      <c r="G17" s="2172"/>
      <c r="H17" s="2173"/>
      <c r="I17" s="2171"/>
      <c r="J17" s="2174"/>
      <c r="K17" s="2175"/>
      <c r="L17" s="2171"/>
      <c r="M17" s="2172"/>
      <c r="N17" s="124"/>
      <c r="O17" s="124"/>
      <c r="P17" s="124"/>
      <c r="Q17" s="124"/>
    </row>
    <row r="18" spans="1:17" ht="42.75" customHeight="1" x14ac:dyDescent="0.25">
      <c r="A18" s="2169"/>
      <c r="B18" s="2170"/>
      <c r="C18" s="2170"/>
      <c r="D18" s="318"/>
      <c r="E18" s="2171"/>
      <c r="F18" s="2171"/>
      <c r="G18" s="2172"/>
      <c r="H18" s="2173"/>
      <c r="I18" s="2171"/>
      <c r="J18" s="2174"/>
      <c r="K18" s="2175"/>
      <c r="L18" s="2171"/>
      <c r="M18" s="2172"/>
      <c r="N18" s="124"/>
      <c r="O18" s="124"/>
      <c r="P18" s="124"/>
      <c r="Q18" s="124"/>
    </row>
    <row r="19" spans="1:17" ht="42.75" customHeight="1" x14ac:dyDescent="0.25">
      <c r="A19" s="2169"/>
      <c r="B19" s="2170"/>
      <c r="C19" s="2170"/>
      <c r="D19" s="318"/>
      <c r="E19" s="2171"/>
      <c r="F19" s="2171"/>
      <c r="G19" s="2172"/>
      <c r="H19" s="2173"/>
      <c r="I19" s="2171"/>
      <c r="J19" s="2174"/>
      <c r="K19" s="2175"/>
      <c r="L19" s="2171"/>
      <c r="M19" s="2172"/>
      <c r="N19" s="124"/>
      <c r="O19" s="124"/>
      <c r="P19" s="124"/>
      <c r="Q19" s="124"/>
    </row>
    <row r="20" spans="1:17" ht="42.75" customHeight="1" x14ac:dyDescent="0.25">
      <c r="A20" s="2169"/>
      <c r="B20" s="2170"/>
      <c r="C20" s="2170"/>
      <c r="D20" s="318"/>
      <c r="E20" s="2171"/>
      <c r="F20" s="2171"/>
      <c r="G20" s="2172"/>
      <c r="H20" s="2173"/>
      <c r="I20" s="2171"/>
      <c r="J20" s="2174"/>
      <c r="K20" s="2175"/>
      <c r="L20" s="2171"/>
      <c r="M20" s="2172"/>
      <c r="N20" s="124"/>
      <c r="O20" s="124"/>
      <c r="P20" s="124"/>
      <c r="Q20" s="124"/>
    </row>
    <row r="21" spans="1:17" ht="42.75" customHeight="1" x14ac:dyDescent="0.25">
      <c r="A21" s="2169"/>
      <c r="B21" s="2170"/>
      <c r="C21" s="2170"/>
      <c r="D21" s="318"/>
      <c r="E21" s="2171"/>
      <c r="F21" s="2171"/>
      <c r="G21" s="2172"/>
      <c r="H21" s="2173"/>
      <c r="I21" s="2171"/>
      <c r="J21" s="2174"/>
      <c r="K21" s="2175"/>
      <c r="L21" s="2171"/>
      <c r="M21" s="2172"/>
      <c r="N21" s="124"/>
      <c r="O21" s="124"/>
      <c r="P21" s="124"/>
      <c r="Q21" s="124"/>
    </row>
    <row r="22" spans="1:17" ht="12.75" customHeight="1" x14ac:dyDescent="0.25">
      <c r="A22" s="1764" t="s">
        <v>1966</v>
      </c>
      <c r="B22" s="1760"/>
      <c r="C22" s="1761"/>
      <c r="D22" s="318"/>
      <c r="E22" s="2176"/>
      <c r="F22" s="2176"/>
      <c r="G22" s="2177"/>
      <c r="H22" s="2178"/>
      <c r="I22" s="2176"/>
      <c r="J22" s="2179"/>
      <c r="K22" s="2180"/>
      <c r="L22" s="2176"/>
      <c r="M22" s="2177"/>
      <c r="N22" s="124"/>
      <c r="O22" s="124"/>
      <c r="P22" s="124"/>
      <c r="Q22" s="124"/>
    </row>
    <row r="23" spans="1:17" x14ac:dyDescent="0.25">
      <c r="A23" s="224" t="str">
        <f>'A4-FinPerf RE'!A36</f>
        <v>Total Expenditure</v>
      </c>
      <c r="B23" s="1762"/>
      <c r="C23" s="1763"/>
      <c r="D23" s="225">
        <v>1</v>
      </c>
      <c r="E23" s="108">
        <f t="shared" ref="E23:M23" si="0">SUM(E4:E22)</f>
        <v>153406000</v>
      </c>
      <c r="F23" s="108">
        <f t="shared" si="0"/>
        <v>168265000</v>
      </c>
      <c r="G23" s="106">
        <f t="shared" si="0"/>
        <v>178874000</v>
      </c>
      <c r="H23" s="107">
        <f t="shared" si="0"/>
        <v>305417000</v>
      </c>
      <c r="I23" s="108">
        <f t="shared" si="0"/>
        <v>298835365.99000001</v>
      </c>
      <c r="J23" s="109">
        <f t="shared" si="0"/>
        <v>298835365.99000001</v>
      </c>
      <c r="K23" s="110">
        <f t="shared" si="0"/>
        <v>314027000</v>
      </c>
      <c r="L23" s="108">
        <f t="shared" si="0"/>
        <v>331253000</v>
      </c>
      <c r="M23" s="106">
        <f t="shared" si="0"/>
        <v>352012000</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1967</v>
      </c>
    </row>
    <row r="27" spans="1:17" x14ac:dyDescent="0.25">
      <c r="A27" s="1121" t="s">
        <v>932</v>
      </c>
      <c r="B27" s="903"/>
      <c r="C27" s="903"/>
      <c r="D27" s="902"/>
      <c r="E27" s="1266">
        <f>E23-'A4-FinPerf RE'!C36</f>
        <v>490.06999999284744</v>
      </c>
      <c r="F27" s="1266">
        <f>F23-'A4-FinPerf RE'!D36</f>
        <v>405</v>
      </c>
      <c r="G27" s="1267">
        <f>G23-'A4-FinPerf RE'!E36</f>
        <v>290</v>
      </c>
      <c r="H27" s="1267">
        <f>H23-'A4-FinPerf RE'!F36</f>
        <v>7.3199999332427979</v>
      </c>
      <c r="I27" s="1267">
        <f>I23-'A4-FinPerf RE'!G36</f>
        <v>0</v>
      </c>
      <c r="J27" s="1267">
        <f>J23-'A4-FinPerf RE'!H36</f>
        <v>0</v>
      </c>
      <c r="K27" s="1267">
        <f>K23-'A4-FinPerf RE'!J36</f>
        <v>134.58964002132416</v>
      </c>
      <c r="L27" s="1267">
        <f>L23-'A4-FinPerf RE'!K36</f>
        <v>-378.21108162403107</v>
      </c>
      <c r="M27" s="1267">
        <f>M23-'A4-FinPerf RE'!L36</f>
        <v>-139.98232650756836</v>
      </c>
    </row>
    <row r="28" spans="1:17" x14ac:dyDescent="0.25">
      <c r="E28" s="326"/>
    </row>
    <row r="29" spans="1:17" x14ac:dyDescent="0.25">
      <c r="E29"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6" activePane="bottomRight" state="frozen"/>
      <selection pane="topRight"/>
      <selection pane="bottomLeft"/>
      <selection pane="bottomRight" activeCell="B32" sqref="B32"/>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LIM471 Ephraim Mogale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928</v>
      </c>
      <c r="B2" s="857" t="s">
        <v>1294</v>
      </c>
      <c r="C2" s="509" t="s">
        <v>892</v>
      </c>
      <c r="D2" s="2682" t="str">
        <f>head27</f>
        <v>Ref</v>
      </c>
      <c r="E2" s="23" t="str">
        <f>head1b</f>
        <v>2012/13</v>
      </c>
      <c r="F2" s="28" t="str">
        <f>head1A</f>
        <v>2013/14</v>
      </c>
      <c r="G2" s="24" t="str">
        <f>Head1</f>
        <v>2014/15</v>
      </c>
      <c r="H2" s="2653" t="str">
        <f>Head2</f>
        <v>Current Year 2015/16</v>
      </c>
      <c r="I2" s="2654"/>
      <c r="J2" s="2658"/>
      <c r="K2" s="2650" t="str">
        <f>Head3</f>
        <v>2016/17 Medium Term Revenue &amp; Expenditure Framework</v>
      </c>
      <c r="L2" s="2651"/>
      <c r="M2" s="2652"/>
      <c r="N2" s="124"/>
      <c r="O2" s="124"/>
      <c r="P2" s="124"/>
      <c r="Q2" s="124"/>
    </row>
    <row r="3" spans="1:24" ht="25.5" x14ac:dyDescent="0.25">
      <c r="A3" s="864" t="s">
        <v>625</v>
      </c>
      <c r="B3" s="863"/>
      <c r="C3" s="863"/>
      <c r="D3" s="2688"/>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169" t="s">
        <v>2301</v>
      </c>
      <c r="B4" s="2170" t="s">
        <v>2302</v>
      </c>
      <c r="C4" s="2181" t="s">
        <v>384</v>
      </c>
      <c r="D4" s="318"/>
      <c r="E4" s="2171">
        <v>8449666</v>
      </c>
      <c r="F4" s="2171">
        <v>2302701.42</v>
      </c>
      <c r="G4" s="2172"/>
      <c r="H4" s="2173">
        <f>800000+400000+250000+350000+250000+300000+300000+300000+100000+586339+56162+407712+700000+350000+650000+120000+500000+240000+1600000</f>
        <v>8260213</v>
      </c>
      <c r="I4" s="2171">
        <f>7060555+1600000</f>
        <v>8660555</v>
      </c>
      <c r="J4" s="2171">
        <f>7060555+1600000</f>
        <v>8660555</v>
      </c>
      <c r="K4" s="2175">
        <f>250000+284000+500000+500000+190000+500000+930000+1200000+1400000+515357.5+1517000+700000+460000+200000+980000+400000+21600+550000+800000</f>
        <v>11897957.5</v>
      </c>
      <c r="L4" s="2171">
        <f>265000+301040+530000+201400+530000+985800+1272000+1484000+546278.95+1608020+169600+742000+487600+212000+1038800+424000+22896+583000+848000+530000</f>
        <v>12781434.949999999</v>
      </c>
      <c r="M4" s="2172">
        <f>280900+319102.4+561800+213484+561800+1044948+1348320+1573040+579055.69+1704501.2+179776+516856+516856+224720+1101128+449440+24269.76+617980+898880+831463.95</f>
        <v>13548320.999999998</v>
      </c>
      <c r="N4" s="323"/>
      <c r="O4" s="323"/>
      <c r="P4" s="133"/>
      <c r="Q4" s="133"/>
      <c r="R4" s="133"/>
      <c r="S4" s="133"/>
      <c r="T4" s="133"/>
      <c r="U4" s="133"/>
      <c r="V4" s="133"/>
      <c r="W4" s="133"/>
      <c r="X4" s="133"/>
    </row>
    <row r="5" spans="1:24" ht="42.75" customHeight="1" x14ac:dyDescent="0.25">
      <c r="A5" s="2169" t="s">
        <v>2303</v>
      </c>
      <c r="B5" s="2170" t="s">
        <v>2304</v>
      </c>
      <c r="C5" s="2181" t="s">
        <v>1284</v>
      </c>
      <c r="D5" s="318"/>
      <c r="E5" s="2171">
        <v>2060000</v>
      </c>
      <c r="F5" s="2171"/>
      <c r="G5" s="2172">
        <v>6240027</v>
      </c>
      <c r="H5" s="2173">
        <v>1000000</v>
      </c>
      <c r="I5" s="2171">
        <v>600000</v>
      </c>
      <c r="J5" s="2171">
        <v>600000</v>
      </c>
      <c r="K5" s="2175">
        <f>250000+1120000</f>
        <v>1370000</v>
      </c>
      <c r="L5" s="2171">
        <f>265000+1187200</f>
        <v>1452200</v>
      </c>
      <c r="M5" s="2172">
        <f>280900+1258432</f>
        <v>1539332</v>
      </c>
      <c r="N5" s="323"/>
      <c r="O5" s="323"/>
      <c r="P5" s="133"/>
      <c r="Q5" s="133"/>
      <c r="R5" s="133"/>
      <c r="S5" s="133"/>
      <c r="T5" s="133"/>
      <c r="U5" s="133"/>
      <c r="V5" s="133"/>
      <c r="W5" s="133"/>
      <c r="X5" s="133"/>
    </row>
    <row r="6" spans="1:24" ht="42.75" customHeight="1" x14ac:dyDescent="0.25">
      <c r="A6" s="2169" t="s">
        <v>2307</v>
      </c>
      <c r="B6" s="2170" t="s">
        <v>2308</v>
      </c>
      <c r="C6" s="2181" t="s">
        <v>472</v>
      </c>
      <c r="D6" s="318"/>
      <c r="E6" s="2171">
        <v>35620000</v>
      </c>
      <c r="F6" s="2171"/>
      <c r="G6" s="2172"/>
      <c r="H6" s="2173"/>
      <c r="I6" s="2171"/>
      <c r="J6" s="2174"/>
      <c r="K6" s="2175"/>
      <c r="L6" s="2171"/>
      <c r="M6" s="2172"/>
      <c r="N6" s="323"/>
      <c r="O6" s="323"/>
      <c r="P6" s="133"/>
      <c r="Q6" s="133"/>
      <c r="R6" s="133"/>
      <c r="S6" s="133"/>
      <c r="T6" s="133"/>
      <c r="U6" s="133"/>
      <c r="V6" s="133"/>
      <c r="W6" s="133"/>
      <c r="X6" s="133"/>
    </row>
    <row r="7" spans="1:24" ht="42.75" customHeight="1" x14ac:dyDescent="0.25">
      <c r="A7" s="2169" t="s">
        <v>2309</v>
      </c>
      <c r="B7" s="2170" t="s">
        <v>2310</v>
      </c>
      <c r="C7" s="2181" t="s">
        <v>521</v>
      </c>
      <c r="D7" s="318"/>
      <c r="E7" s="2171">
        <v>615000</v>
      </c>
      <c r="F7" s="2171">
        <v>1719629.1</v>
      </c>
      <c r="G7" s="2172">
        <v>40090994</v>
      </c>
      <c r="H7" s="2173">
        <f>1000000+8500000+5000000+7000000+7000000+1500000+14000000+6805000+5000000+5000000</f>
        <v>60805000</v>
      </c>
      <c r="I7" s="2171">
        <f>57845000+599401</f>
        <v>58444401</v>
      </c>
      <c r="J7" s="2171">
        <f>57845000+599401</f>
        <v>58444401</v>
      </c>
      <c r="K7" s="2175">
        <f>200000+430000+160000+2500000+7000000+7000000+2000000+1000000+1200000+1200000+200000+500000+7000000+7000000+6900000+6000000</f>
        <v>50290000</v>
      </c>
      <c r="L7" s="2171">
        <f>212000+455800+2650000+7420000+7420000+2120000+1060000+1618980+1272000+212000+530000+7420000+7420000+7314000+6360000</f>
        <v>53484780</v>
      </c>
      <c r="M7" s="2172">
        <f>224720+483148+2809000+7865200+7865200+2247200+1123600+2473379+1348320+224720+561800+7865200+7865200+7752840+6741600</f>
        <v>57451127</v>
      </c>
      <c r="N7" s="323"/>
      <c r="O7" s="323"/>
      <c r="P7" s="133"/>
      <c r="Q7" s="133"/>
      <c r="R7" s="133"/>
      <c r="S7" s="133"/>
      <c r="T7" s="133"/>
      <c r="U7" s="133"/>
      <c r="V7" s="133"/>
      <c r="W7" s="133"/>
      <c r="X7" s="133"/>
    </row>
    <row r="8" spans="1:24" ht="42.75" customHeight="1" x14ac:dyDescent="0.25">
      <c r="A8" s="2169" t="s">
        <v>2311</v>
      </c>
      <c r="B8" s="2170" t="s">
        <v>2312</v>
      </c>
      <c r="C8" s="2181" t="s">
        <v>1481</v>
      </c>
      <c r="D8" s="318"/>
      <c r="E8" s="2171">
        <v>8200000</v>
      </c>
      <c r="F8" s="2171">
        <v>30720000</v>
      </c>
      <c r="G8" s="2172"/>
      <c r="H8" s="2173"/>
      <c r="I8" s="2171"/>
      <c r="J8" s="2174"/>
      <c r="K8" s="2175"/>
      <c r="L8" s="2171"/>
      <c r="M8" s="2172"/>
      <c r="N8" s="323"/>
      <c r="O8" s="323"/>
      <c r="P8" s="133"/>
      <c r="Q8" s="133"/>
      <c r="R8" s="133"/>
      <c r="S8" s="133"/>
      <c r="T8" s="133"/>
      <c r="U8" s="133"/>
      <c r="V8" s="133"/>
      <c r="W8" s="133"/>
      <c r="X8" s="133"/>
    </row>
    <row r="9" spans="1:24" ht="42.75" customHeight="1" x14ac:dyDescent="0.25">
      <c r="A9" s="2169" t="s">
        <v>2313</v>
      </c>
      <c r="B9" s="2170" t="s">
        <v>2314</v>
      </c>
      <c r="C9" s="2181" t="s">
        <v>1482</v>
      </c>
      <c r="D9" s="318"/>
      <c r="E9" s="2171">
        <v>0</v>
      </c>
      <c r="F9" s="2171"/>
      <c r="G9" s="2172"/>
      <c r="H9" s="2173"/>
      <c r="I9" s="2171"/>
      <c r="J9" s="2174"/>
      <c r="K9" s="2175">
        <f>500000+800000+400000</f>
        <v>1700000</v>
      </c>
      <c r="L9" s="2171">
        <f>530000+424000</f>
        <v>954000</v>
      </c>
      <c r="M9" s="2172">
        <f>561800+449440</f>
        <v>1011240</v>
      </c>
      <c r="N9" s="187"/>
      <c r="O9" s="187"/>
      <c r="P9" s="133"/>
      <c r="Q9" s="133"/>
      <c r="R9" s="133"/>
      <c r="S9" s="133"/>
      <c r="T9" s="133"/>
      <c r="U9" s="133"/>
      <c r="V9" s="133"/>
      <c r="W9" s="133"/>
      <c r="X9" s="133"/>
    </row>
    <row r="10" spans="1:24" ht="42.75" customHeight="1" x14ac:dyDescent="0.25">
      <c r="A10" s="2169" t="s">
        <v>2317</v>
      </c>
      <c r="B10" s="2170" t="s">
        <v>2318</v>
      </c>
      <c r="C10" s="2181" t="s">
        <v>1483</v>
      </c>
      <c r="D10" s="318"/>
      <c r="E10" s="2171">
        <v>1800000</v>
      </c>
      <c r="F10" s="2171"/>
      <c r="G10" s="2172">
        <v>177182</v>
      </c>
      <c r="H10" s="2173">
        <v>750000</v>
      </c>
      <c r="I10" s="2171">
        <v>750000</v>
      </c>
      <c r="J10" s="2171">
        <v>750000</v>
      </c>
      <c r="K10" s="2175">
        <f>250000</f>
        <v>250000</v>
      </c>
      <c r="L10" s="2171">
        <f>265000</f>
        <v>265000</v>
      </c>
      <c r="M10" s="2172">
        <f>280900</f>
        <v>280900</v>
      </c>
      <c r="N10" s="124"/>
      <c r="O10" s="124"/>
      <c r="P10" s="133"/>
      <c r="Q10" s="133"/>
      <c r="R10" s="133"/>
      <c r="S10" s="133"/>
      <c r="T10" s="133"/>
      <c r="U10" s="133"/>
      <c r="V10" s="133"/>
      <c r="W10" s="133"/>
      <c r="X10" s="133"/>
    </row>
    <row r="11" spans="1:24" ht="42.75" customHeight="1" x14ac:dyDescent="0.25">
      <c r="A11" s="2169"/>
      <c r="B11" s="2170"/>
      <c r="C11" s="2181" t="s">
        <v>534</v>
      </c>
      <c r="D11" s="318"/>
      <c r="E11" s="2171"/>
      <c r="F11" s="2171"/>
      <c r="G11" s="2172"/>
      <c r="H11" s="2173"/>
      <c r="I11" s="2171"/>
      <c r="J11" s="2174"/>
      <c r="K11" s="2175"/>
      <c r="L11" s="2171"/>
      <c r="M11" s="2172"/>
      <c r="N11" s="124"/>
      <c r="O11" s="124"/>
      <c r="P11" s="133"/>
      <c r="Q11" s="133"/>
      <c r="R11" s="133"/>
      <c r="S11" s="133"/>
      <c r="T11" s="133"/>
      <c r="U11" s="133"/>
      <c r="V11" s="133"/>
      <c r="W11" s="133"/>
      <c r="X11" s="133"/>
    </row>
    <row r="12" spans="1:24" ht="42.75" customHeight="1" x14ac:dyDescent="0.25">
      <c r="A12" s="2169"/>
      <c r="B12" s="2170"/>
      <c r="C12" s="2181" t="s">
        <v>535</v>
      </c>
      <c r="D12" s="318"/>
      <c r="E12" s="2171"/>
      <c r="F12" s="2171"/>
      <c r="G12" s="2172"/>
      <c r="H12" s="2173"/>
      <c r="I12" s="2171"/>
      <c r="J12" s="2174"/>
      <c r="K12" s="2175"/>
      <c r="L12" s="2171"/>
      <c r="M12" s="2172"/>
      <c r="N12" s="124"/>
      <c r="O12" s="124"/>
      <c r="P12" s="133"/>
      <c r="Q12" s="133"/>
      <c r="R12" s="133"/>
      <c r="S12" s="133"/>
      <c r="T12" s="133"/>
      <c r="U12" s="133"/>
      <c r="V12" s="133"/>
      <c r="W12" s="133"/>
      <c r="X12" s="133"/>
    </row>
    <row r="13" spans="1:24" ht="42.75" customHeight="1" x14ac:dyDescent="0.25">
      <c r="A13" s="2169"/>
      <c r="B13" s="2170"/>
      <c r="C13" s="2181" t="s">
        <v>893</v>
      </c>
      <c r="D13" s="318"/>
      <c r="E13" s="2171"/>
      <c r="F13" s="2171"/>
      <c r="G13" s="2172"/>
      <c r="H13" s="2173"/>
      <c r="I13" s="2171"/>
      <c r="J13" s="2174"/>
      <c r="K13" s="2175"/>
      <c r="L13" s="2171"/>
      <c r="M13" s="2172"/>
      <c r="N13" s="124"/>
      <c r="O13" s="124"/>
      <c r="P13" s="80"/>
      <c r="Q13" s="80"/>
      <c r="R13" s="80"/>
      <c r="S13" s="80"/>
      <c r="T13" s="80"/>
      <c r="U13" s="80"/>
      <c r="V13" s="80"/>
      <c r="W13" s="80"/>
      <c r="X13" s="80"/>
    </row>
    <row r="14" spans="1:24" ht="42.75" customHeight="1" x14ac:dyDescent="0.25">
      <c r="A14" s="2169"/>
      <c r="B14" s="2170"/>
      <c r="C14" s="2181" t="s">
        <v>894</v>
      </c>
      <c r="D14" s="318"/>
      <c r="E14" s="2171"/>
      <c r="F14" s="2171"/>
      <c r="G14" s="2172"/>
      <c r="H14" s="2173"/>
      <c r="I14" s="2171"/>
      <c r="J14" s="2174"/>
      <c r="K14" s="2175"/>
      <c r="L14" s="2171"/>
      <c r="M14" s="2172"/>
      <c r="N14" s="124"/>
      <c r="O14" s="124"/>
      <c r="P14" s="133"/>
      <c r="Q14" s="133"/>
      <c r="R14" s="133"/>
      <c r="S14" s="133"/>
      <c r="T14" s="133"/>
      <c r="U14" s="133"/>
      <c r="V14" s="133"/>
      <c r="W14" s="133"/>
      <c r="X14" s="133"/>
    </row>
    <row r="15" spans="1:24" ht="42.75" customHeight="1" x14ac:dyDescent="0.25">
      <c r="A15" s="2169"/>
      <c r="B15" s="2170"/>
      <c r="C15" s="2181" t="s">
        <v>895</v>
      </c>
      <c r="D15" s="318"/>
      <c r="E15" s="2171"/>
      <c r="F15" s="2171"/>
      <c r="G15" s="2172"/>
      <c r="H15" s="2173"/>
      <c r="I15" s="2171"/>
      <c r="J15" s="2174"/>
      <c r="K15" s="2175"/>
      <c r="L15" s="2171"/>
      <c r="M15" s="2172"/>
      <c r="N15" s="124"/>
      <c r="O15" s="124"/>
      <c r="P15" s="124"/>
      <c r="Q15" s="124"/>
    </row>
    <row r="16" spans="1:24" ht="42.75" customHeight="1" x14ac:dyDescent="0.25">
      <c r="A16" s="2169"/>
      <c r="B16" s="2170"/>
      <c r="C16" s="2181" t="s">
        <v>896</v>
      </c>
      <c r="D16" s="318"/>
      <c r="E16" s="2171"/>
      <c r="F16" s="2171"/>
      <c r="G16" s="2172"/>
      <c r="H16" s="2173"/>
      <c r="I16" s="2171"/>
      <c r="J16" s="2174"/>
      <c r="K16" s="2175"/>
      <c r="L16" s="2171"/>
      <c r="M16" s="2172"/>
      <c r="N16" s="124"/>
      <c r="O16" s="124"/>
      <c r="P16" s="124"/>
      <c r="Q16" s="124"/>
    </row>
    <row r="17" spans="1:13" ht="42.75" customHeight="1" x14ac:dyDescent="0.25">
      <c r="A17" s="2169"/>
      <c r="B17" s="2170"/>
      <c r="C17" s="2181" t="s">
        <v>897</v>
      </c>
      <c r="D17" s="318"/>
      <c r="E17" s="2171"/>
      <c r="F17" s="2171"/>
      <c r="G17" s="2172"/>
      <c r="H17" s="2173"/>
      <c r="I17" s="2171"/>
      <c r="J17" s="2174"/>
      <c r="K17" s="2175"/>
      <c r="L17" s="2171"/>
      <c r="M17" s="2172"/>
    </row>
    <row r="18" spans="1:13" ht="42.75" customHeight="1" x14ac:dyDescent="0.25">
      <c r="A18" s="2169"/>
      <c r="B18" s="2170"/>
      <c r="C18" s="2181" t="s">
        <v>898</v>
      </c>
      <c r="D18" s="318"/>
      <c r="E18" s="2171"/>
      <c r="F18" s="2171"/>
      <c r="G18" s="2172"/>
      <c r="H18" s="2173"/>
      <c r="I18" s="2171"/>
      <c r="J18" s="2174"/>
      <c r="K18" s="2175"/>
      <c r="L18" s="2171"/>
      <c r="M18" s="2172"/>
    </row>
    <row r="19" spans="1:13" ht="42.75" customHeight="1" x14ac:dyDescent="0.25">
      <c r="A19" s="2169"/>
      <c r="B19" s="2170"/>
      <c r="C19" s="2181" t="s">
        <v>899</v>
      </c>
      <c r="D19" s="318"/>
      <c r="E19" s="2171"/>
      <c r="F19" s="2171"/>
      <c r="G19" s="2172"/>
      <c r="H19" s="2173"/>
      <c r="I19" s="2171"/>
      <c r="J19" s="2174"/>
      <c r="K19" s="2175"/>
      <c r="L19" s="2171"/>
      <c r="M19" s="2172"/>
    </row>
    <row r="20" spans="1:13" ht="12.75" customHeight="1" x14ac:dyDescent="0.25">
      <c r="A20" s="1764" t="s">
        <v>1966</v>
      </c>
      <c r="B20" s="1760"/>
      <c r="C20" s="1765"/>
      <c r="D20" s="318">
        <v>3</v>
      </c>
      <c r="E20" s="2176"/>
      <c r="F20" s="2176"/>
      <c r="G20" s="2177"/>
      <c r="H20" s="2178"/>
      <c r="I20" s="2176"/>
      <c r="J20" s="2179"/>
      <c r="K20" s="2180"/>
      <c r="L20" s="2176"/>
      <c r="M20" s="2177"/>
    </row>
    <row r="21" spans="1:13" x14ac:dyDescent="0.25">
      <c r="A21" s="224" t="s">
        <v>576</v>
      </c>
      <c r="B21" s="1762"/>
      <c r="C21" s="1763"/>
      <c r="D21" s="225">
        <v>1</v>
      </c>
      <c r="E21" s="108">
        <f t="shared" ref="E21:M21" si="0">SUM(E4:E20)</f>
        <v>56744666</v>
      </c>
      <c r="F21" s="108">
        <f t="shared" si="0"/>
        <v>34742330.520000003</v>
      </c>
      <c r="G21" s="106">
        <f t="shared" si="0"/>
        <v>46508203</v>
      </c>
      <c r="H21" s="107">
        <f t="shared" si="0"/>
        <v>70815213</v>
      </c>
      <c r="I21" s="108">
        <f t="shared" si="0"/>
        <v>68454956</v>
      </c>
      <c r="J21" s="109">
        <f t="shared" si="0"/>
        <v>68454956</v>
      </c>
      <c r="K21" s="110">
        <f t="shared" si="0"/>
        <v>65507957.5</v>
      </c>
      <c r="L21" s="108">
        <f t="shared" si="0"/>
        <v>68937414.950000003</v>
      </c>
      <c r="M21" s="106">
        <f t="shared" si="0"/>
        <v>73830920</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1296</v>
      </c>
      <c r="B23" s="900"/>
      <c r="C23" s="900"/>
      <c r="D23" s="897"/>
      <c r="E23" s="901"/>
      <c r="F23" s="901"/>
      <c r="G23" s="901"/>
      <c r="H23" s="901"/>
      <c r="I23" s="901"/>
      <c r="J23" s="901"/>
      <c r="K23" s="901"/>
      <c r="L23" s="901"/>
      <c r="M23" s="901"/>
    </row>
    <row r="24" spans="1:13" s="586" customFormat="1" x14ac:dyDescent="0.25">
      <c r="A24" s="1052" t="s">
        <v>1965</v>
      </c>
      <c r="B24" s="921"/>
      <c r="C24" s="921"/>
      <c r="D24" s="897"/>
      <c r="E24" s="900"/>
      <c r="F24" s="900"/>
      <c r="G24" s="901"/>
      <c r="H24" s="901"/>
      <c r="I24" s="901"/>
      <c r="J24" s="901"/>
      <c r="K24" s="901"/>
      <c r="L24" s="901"/>
      <c r="M24" s="901"/>
    </row>
    <row r="25" spans="1:13" x14ac:dyDescent="0.25">
      <c r="A25" s="27" t="s">
        <v>1968</v>
      </c>
    </row>
    <row r="26" spans="1:13" x14ac:dyDescent="0.25">
      <c r="A26" s="265" t="s">
        <v>401</v>
      </c>
      <c r="B26" s="265"/>
      <c r="C26" s="265"/>
      <c r="E26" s="325">
        <f>E21-'A5-Capex'!C40</f>
        <v>0</v>
      </c>
      <c r="F26" s="325">
        <f>F21-'A5-Capex'!D40</f>
        <v>0</v>
      </c>
      <c r="G26" s="325">
        <f>G21-'A5-Capex'!E40</f>
        <v>0</v>
      </c>
      <c r="H26" s="325">
        <f>H21-'A5-Capex'!F40</f>
        <v>0</v>
      </c>
      <c r="I26" s="325">
        <f>I21-'A5-Capex'!G40</f>
        <v>0</v>
      </c>
      <c r="J26" s="325">
        <f>J21-'A5-Capex'!H40</f>
        <v>0</v>
      </c>
      <c r="K26" s="325">
        <f>K21-'A5-Capex'!J40</f>
        <v>0</v>
      </c>
      <c r="L26" s="325">
        <f>L21-'A5-Capex'!K40</f>
        <v>0</v>
      </c>
      <c r="M26" s="325">
        <f>M21-'A5-Capex'!L40</f>
        <v>0.15000000596046448</v>
      </c>
    </row>
    <row r="27" spans="1:13" x14ac:dyDescent="0.25">
      <c r="E27" s="326"/>
    </row>
    <row r="28" spans="1:13"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73" activePane="bottomRight" state="frozen"/>
      <selection pane="topRight"/>
      <selection pane="bottomLeft"/>
      <selection pane="bottomRight" activeCell="I65" sqref="I65"/>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LIM471 Ephraim Mogale - Supporting Table SA7 Measureable performance objectives</v>
      </c>
      <c r="B1" s="25"/>
      <c r="C1" s="25"/>
      <c r="D1" s="25"/>
      <c r="E1" s="25"/>
      <c r="F1" s="25"/>
      <c r="G1" s="25"/>
      <c r="H1" s="25"/>
      <c r="I1" s="25"/>
      <c r="J1" s="25"/>
      <c r="K1" s="25"/>
    </row>
    <row r="2" spans="1:11" ht="28.5" customHeight="1" x14ac:dyDescent="0.25">
      <c r="A2" s="2691" t="s">
        <v>728</v>
      </c>
      <c r="B2" s="2689" t="s">
        <v>397</v>
      </c>
      <c r="C2" s="23"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2692"/>
      <c r="B3" s="2690"/>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77" t="s">
        <v>1327</v>
      </c>
      <c r="B4" s="2182"/>
      <c r="C4" s="2183"/>
      <c r="D4" s="2184"/>
      <c r="E4" s="2184"/>
      <c r="F4" s="2184"/>
      <c r="G4" s="2184"/>
      <c r="H4" s="2185"/>
      <c r="I4" s="2185"/>
      <c r="J4" s="2184"/>
      <c r="K4" s="2184"/>
    </row>
    <row r="5" spans="1:11" ht="11.25" customHeight="1" x14ac:dyDescent="0.25">
      <c r="A5" s="1380" t="s">
        <v>2325</v>
      </c>
      <c r="B5" s="2186"/>
      <c r="C5" s="2183"/>
      <c r="D5" s="2184"/>
      <c r="E5" s="2184"/>
      <c r="F5" s="2184"/>
      <c r="G5" s="2184"/>
      <c r="H5" s="2184"/>
      <c r="I5" s="2184"/>
      <c r="J5" s="2184"/>
      <c r="K5" s="2184"/>
    </row>
    <row r="6" spans="1:11" ht="11.25" customHeight="1" x14ac:dyDescent="0.25">
      <c r="A6" s="1381" t="s">
        <v>2326</v>
      </c>
      <c r="B6" s="2187"/>
      <c r="C6" s="2183"/>
      <c r="D6" s="2184"/>
      <c r="E6" s="2184"/>
      <c r="F6" s="2184"/>
      <c r="G6" s="2184"/>
      <c r="H6" s="2184"/>
      <c r="I6" s="2184"/>
      <c r="J6" s="2184"/>
      <c r="K6" s="2184"/>
    </row>
    <row r="7" spans="1:11" ht="11.25" customHeight="1" x14ac:dyDescent="0.25">
      <c r="A7" s="2188" t="s">
        <v>2327</v>
      </c>
      <c r="B7" s="2187" t="s">
        <v>2328</v>
      </c>
      <c r="C7" s="2183"/>
      <c r="D7" s="2184"/>
      <c r="E7" s="2184"/>
      <c r="F7" s="2601">
        <v>1730175.47</v>
      </c>
      <c r="G7" s="2601">
        <v>1730175.47</v>
      </c>
      <c r="H7" s="2601">
        <v>1730175.47</v>
      </c>
      <c r="I7" s="2184"/>
      <c r="J7" s="2184"/>
      <c r="K7" s="2184"/>
    </row>
    <row r="8" spans="1:11" ht="11.25" customHeight="1" x14ac:dyDescent="0.25">
      <c r="A8" s="2189"/>
      <c r="B8" s="2187"/>
      <c r="C8" s="2183"/>
      <c r="D8" s="2184"/>
      <c r="E8" s="2184"/>
      <c r="F8" s="2184"/>
      <c r="G8" s="2184"/>
      <c r="H8" s="2184"/>
      <c r="I8" s="2184"/>
      <c r="J8" s="2184"/>
      <c r="K8" s="2184"/>
    </row>
    <row r="9" spans="1:11" ht="11.25" customHeight="1" x14ac:dyDescent="0.25">
      <c r="A9" s="1381" t="s">
        <v>2282</v>
      </c>
      <c r="B9" s="2190"/>
      <c r="C9" s="2191"/>
      <c r="D9" s="2192"/>
      <c r="E9" s="2192"/>
      <c r="F9" s="2192"/>
      <c r="G9" s="2192"/>
      <c r="H9" s="2192"/>
      <c r="I9" s="2192"/>
      <c r="J9" s="2192"/>
      <c r="K9" s="2192"/>
    </row>
    <row r="10" spans="1:11" ht="11.25" customHeight="1" x14ac:dyDescent="0.25">
      <c r="A10" s="2188" t="s">
        <v>2329</v>
      </c>
      <c r="B10" s="2187" t="s">
        <v>2330</v>
      </c>
      <c r="C10" s="2183"/>
      <c r="D10" s="2184"/>
      <c r="E10" s="2184"/>
      <c r="F10" s="2601">
        <v>650000</v>
      </c>
      <c r="G10" s="2601">
        <v>650000</v>
      </c>
      <c r="H10" s="2601">
        <v>650000</v>
      </c>
      <c r="I10" s="2184"/>
      <c r="J10" s="2184"/>
      <c r="K10" s="2184"/>
    </row>
    <row r="11" spans="1:11" ht="11.25" customHeight="1" x14ac:dyDescent="0.25">
      <c r="A11" s="2189"/>
      <c r="B11" s="2182"/>
      <c r="C11" s="2183"/>
      <c r="D11" s="2184"/>
      <c r="E11" s="2184"/>
      <c r="F11" s="2184"/>
      <c r="G11" s="2184"/>
      <c r="H11" s="2184"/>
      <c r="I11" s="2184"/>
      <c r="J11" s="2184"/>
      <c r="K11" s="2184"/>
    </row>
    <row r="12" spans="1:11" ht="11.25" customHeight="1" x14ac:dyDescent="0.25">
      <c r="A12" s="1381" t="s">
        <v>2282</v>
      </c>
      <c r="B12" s="2190"/>
      <c r="C12" s="2191"/>
      <c r="D12" s="2192"/>
      <c r="E12" s="2192"/>
      <c r="F12" s="2192"/>
      <c r="G12" s="2192"/>
      <c r="H12" s="2192"/>
      <c r="I12" s="2192"/>
      <c r="J12" s="2192"/>
      <c r="K12" s="2192"/>
    </row>
    <row r="13" spans="1:11" ht="11.25" customHeight="1" x14ac:dyDescent="0.25">
      <c r="A13" s="2188" t="s">
        <v>2331</v>
      </c>
      <c r="B13" s="2187" t="s">
        <v>2332</v>
      </c>
      <c r="C13" s="2183"/>
      <c r="D13" s="2184"/>
      <c r="E13" s="2184"/>
      <c r="F13" s="2601">
        <v>120000</v>
      </c>
      <c r="G13" s="2601">
        <v>120000</v>
      </c>
      <c r="H13" s="2601">
        <v>120000</v>
      </c>
      <c r="I13" s="2184"/>
      <c r="J13" s="2184"/>
      <c r="K13" s="2184"/>
    </row>
    <row r="14" spans="1:11" ht="11.25" customHeight="1" x14ac:dyDescent="0.25">
      <c r="A14" s="2189"/>
      <c r="B14" s="2187"/>
      <c r="C14" s="2183"/>
      <c r="D14" s="2184"/>
      <c r="E14" s="2184"/>
      <c r="F14" s="2184"/>
      <c r="G14" s="2184"/>
      <c r="H14" s="2184"/>
      <c r="I14" s="2184"/>
      <c r="J14" s="2184"/>
      <c r="K14" s="2184"/>
    </row>
    <row r="15" spans="1:11" ht="11.25" customHeight="1" x14ac:dyDescent="0.25">
      <c r="A15" s="1380" t="s">
        <v>2333</v>
      </c>
      <c r="B15" s="2190"/>
      <c r="C15" s="2191"/>
      <c r="D15" s="2192"/>
      <c r="E15" s="2192"/>
      <c r="F15" s="2192"/>
      <c r="G15" s="2192"/>
      <c r="H15" s="2192"/>
      <c r="I15" s="2192"/>
      <c r="J15" s="2192"/>
      <c r="K15" s="2192"/>
    </row>
    <row r="16" spans="1:11" ht="11.25" customHeight="1" x14ac:dyDescent="0.25">
      <c r="A16" s="1381" t="s">
        <v>2334</v>
      </c>
      <c r="B16" s="2187"/>
      <c r="C16" s="2183"/>
      <c r="D16" s="2184"/>
      <c r="E16" s="2184"/>
      <c r="F16" s="2184"/>
      <c r="G16" s="2184"/>
      <c r="H16" s="2184"/>
      <c r="I16" s="2184"/>
      <c r="J16" s="2184"/>
      <c r="K16" s="2184"/>
    </row>
    <row r="17" spans="1:11" ht="11.25" customHeight="1" x14ac:dyDescent="0.25">
      <c r="A17" s="2188" t="s">
        <v>2335</v>
      </c>
      <c r="B17" s="2187" t="s">
        <v>2336</v>
      </c>
      <c r="C17" s="2183"/>
      <c r="D17" s="2184"/>
      <c r="E17" s="2184"/>
      <c r="F17" s="2601">
        <v>1000000</v>
      </c>
      <c r="G17" s="2601">
        <v>600000</v>
      </c>
      <c r="H17" s="2601">
        <v>600000</v>
      </c>
      <c r="I17" s="2601">
        <v>1120000</v>
      </c>
      <c r="J17" s="2601">
        <v>1187200</v>
      </c>
      <c r="K17" s="2601">
        <v>1258432</v>
      </c>
    </row>
    <row r="18" spans="1:11" ht="11.25" customHeight="1" x14ac:dyDescent="0.25">
      <c r="A18" s="2189"/>
      <c r="B18" s="2187"/>
      <c r="C18" s="2183"/>
      <c r="D18" s="2184"/>
      <c r="E18" s="2184"/>
      <c r="F18" s="2184"/>
      <c r="G18" s="2184"/>
      <c r="H18" s="2184"/>
      <c r="I18" s="2184"/>
      <c r="J18" s="2184"/>
      <c r="K18" s="2184"/>
    </row>
    <row r="19" spans="1:11" ht="11.25" customHeight="1" x14ac:dyDescent="0.25">
      <c r="A19" s="1381" t="s">
        <v>2337</v>
      </c>
      <c r="B19" s="2193"/>
      <c r="C19" s="2191"/>
      <c r="D19" s="2192"/>
      <c r="E19" s="2192"/>
      <c r="F19" s="2192"/>
      <c r="G19" s="2192"/>
      <c r="H19" s="2192"/>
      <c r="I19" s="2192"/>
      <c r="J19" s="2192"/>
      <c r="K19" s="2192"/>
    </row>
    <row r="20" spans="1:11" ht="11.25" customHeight="1" x14ac:dyDescent="0.25">
      <c r="A20" s="2188" t="s">
        <v>2338</v>
      </c>
      <c r="B20" s="2187" t="s">
        <v>2339</v>
      </c>
      <c r="C20" s="2183"/>
      <c r="D20" s="2184"/>
      <c r="E20" s="2184"/>
      <c r="F20" s="2601">
        <v>800000</v>
      </c>
      <c r="G20" s="2601">
        <v>600000</v>
      </c>
      <c r="H20" s="2601">
        <v>600000</v>
      </c>
      <c r="I20" s="2601">
        <v>500000</v>
      </c>
      <c r="J20" s="2601">
        <v>530000</v>
      </c>
      <c r="K20" s="2601">
        <v>561800</v>
      </c>
    </row>
    <row r="21" spans="1:11" ht="11.25" customHeight="1" x14ac:dyDescent="0.25">
      <c r="A21" s="2189"/>
      <c r="B21" s="2187"/>
      <c r="C21" s="2183"/>
      <c r="D21" s="2184"/>
      <c r="E21" s="2184"/>
      <c r="F21" s="2184"/>
      <c r="G21" s="2184"/>
      <c r="H21" s="2184"/>
      <c r="I21" s="2184"/>
      <c r="J21" s="2184"/>
      <c r="K21" s="2184"/>
    </row>
    <row r="22" spans="1:11" ht="11.25" customHeight="1" x14ac:dyDescent="0.25">
      <c r="A22" s="1381" t="s">
        <v>2334</v>
      </c>
      <c r="B22" s="2190"/>
      <c r="C22" s="2191"/>
      <c r="D22" s="2192"/>
      <c r="E22" s="2192"/>
      <c r="F22" s="2192"/>
      <c r="G22" s="2192"/>
      <c r="H22" s="2192"/>
      <c r="I22" s="2192"/>
      <c r="J22" s="2192"/>
      <c r="K22" s="2192"/>
    </row>
    <row r="23" spans="1:11" ht="11.25" customHeight="1" x14ac:dyDescent="0.25">
      <c r="A23" s="2188" t="s">
        <v>2340</v>
      </c>
      <c r="B23" s="2187" t="s">
        <v>2341</v>
      </c>
      <c r="C23" s="2183"/>
      <c r="D23" s="2184"/>
      <c r="E23" s="2184"/>
      <c r="F23" s="2601">
        <v>750000</v>
      </c>
      <c r="G23" s="2601">
        <v>750000</v>
      </c>
      <c r="H23" s="2601">
        <v>750000</v>
      </c>
      <c r="I23" s="2601">
        <v>690500</v>
      </c>
      <c r="J23" s="2601">
        <v>731930</v>
      </c>
      <c r="K23" s="2601">
        <v>775845.8</v>
      </c>
    </row>
    <row r="24" spans="1:11" ht="11.25" customHeight="1" x14ac:dyDescent="0.25">
      <c r="A24" s="2194"/>
      <c r="B24" s="2195"/>
      <c r="C24" s="2196"/>
      <c r="D24" s="2197"/>
      <c r="E24" s="2197"/>
      <c r="F24" s="2197"/>
      <c r="G24" s="2197"/>
      <c r="H24" s="2197"/>
      <c r="I24" s="2197"/>
      <c r="J24" s="2197"/>
      <c r="K24" s="2197"/>
    </row>
    <row r="25" spans="1:11" ht="11.25" customHeight="1" x14ac:dyDescent="0.25">
      <c r="A25" s="1377" t="s">
        <v>1329</v>
      </c>
      <c r="B25" s="2187"/>
      <c r="C25" s="2183"/>
      <c r="D25" s="2184"/>
      <c r="E25" s="2184"/>
      <c r="F25" s="2184"/>
      <c r="G25" s="2184"/>
      <c r="H25" s="2184"/>
      <c r="I25" s="2184"/>
      <c r="J25" s="2184"/>
      <c r="K25" s="2184"/>
    </row>
    <row r="26" spans="1:11" ht="11.25" customHeight="1" x14ac:dyDescent="0.25">
      <c r="A26" s="1380" t="s">
        <v>2342</v>
      </c>
      <c r="B26" s="2187"/>
      <c r="C26" s="2183"/>
      <c r="D26" s="2184"/>
      <c r="E26" s="2184"/>
      <c r="F26" s="2184"/>
      <c r="G26" s="2184"/>
      <c r="H26" s="2184"/>
      <c r="I26" s="2184"/>
      <c r="J26" s="2184"/>
      <c r="K26" s="2184"/>
    </row>
    <row r="27" spans="1:11" ht="11.25" customHeight="1" x14ac:dyDescent="0.25">
      <c r="A27" s="1381" t="s">
        <v>2342</v>
      </c>
      <c r="B27" s="2182"/>
      <c r="C27" s="2183"/>
      <c r="D27" s="2184"/>
      <c r="E27" s="2184"/>
      <c r="F27" s="2184"/>
      <c r="G27" s="2184"/>
      <c r="H27" s="2184"/>
      <c r="I27" s="2184"/>
      <c r="J27" s="2184"/>
      <c r="K27" s="2184"/>
    </row>
    <row r="28" spans="1:11" ht="11.25" customHeight="1" x14ac:dyDescent="0.25">
      <c r="A28" s="2188" t="s">
        <v>2343</v>
      </c>
      <c r="B28" s="2187" t="s">
        <v>2344</v>
      </c>
      <c r="C28" s="2183"/>
      <c r="D28" s="2184"/>
      <c r="E28" s="2184"/>
      <c r="F28" s="2601">
        <v>230000</v>
      </c>
      <c r="G28" s="2601">
        <v>0</v>
      </c>
      <c r="H28" s="2601">
        <v>0</v>
      </c>
      <c r="I28" s="2184"/>
      <c r="J28" s="2184"/>
      <c r="K28" s="2184"/>
    </row>
    <row r="29" spans="1:11" ht="11.25" customHeight="1" x14ac:dyDescent="0.25">
      <c r="A29" s="2189"/>
      <c r="B29" s="2187"/>
      <c r="C29" s="2183"/>
      <c r="D29" s="2184"/>
      <c r="E29" s="2184"/>
      <c r="F29" s="2184"/>
      <c r="G29" s="2184"/>
      <c r="H29" s="2184"/>
      <c r="I29" s="2184"/>
      <c r="J29" s="2184"/>
      <c r="K29" s="2184"/>
    </row>
    <row r="30" spans="1:11" ht="11.25" customHeight="1" x14ac:dyDescent="0.25">
      <c r="A30" s="1381" t="s">
        <v>2345</v>
      </c>
      <c r="B30" s="2190"/>
      <c r="C30" s="2191"/>
      <c r="D30" s="2192"/>
      <c r="E30" s="2192"/>
      <c r="F30" s="2192"/>
      <c r="G30" s="2192"/>
      <c r="H30" s="2192"/>
      <c r="I30" s="2192"/>
      <c r="J30" s="2192"/>
      <c r="K30" s="2192"/>
    </row>
    <row r="31" spans="1:11" ht="11.25" customHeight="1" x14ac:dyDescent="0.25">
      <c r="A31" s="2188" t="s">
        <v>2346</v>
      </c>
      <c r="B31" s="2187" t="s">
        <v>2347</v>
      </c>
      <c r="C31" s="2183"/>
      <c r="D31" s="2184"/>
      <c r="E31" s="2184"/>
      <c r="F31" s="2601">
        <v>300000</v>
      </c>
      <c r="G31" s="2601">
        <v>300000</v>
      </c>
      <c r="H31" s="2601">
        <v>300000</v>
      </c>
      <c r="I31" s="2184"/>
      <c r="J31" s="2184"/>
      <c r="K31" s="2184"/>
    </row>
    <row r="32" spans="1:11" ht="11.25" customHeight="1" x14ac:dyDescent="0.25">
      <c r="A32" s="2189"/>
      <c r="B32" s="2187"/>
      <c r="C32" s="2183"/>
      <c r="D32" s="2184"/>
      <c r="E32" s="2184"/>
      <c r="F32" s="2184"/>
      <c r="G32" s="2184"/>
      <c r="H32" s="2184"/>
      <c r="I32" s="2184"/>
      <c r="J32" s="2184"/>
      <c r="K32" s="2184"/>
    </row>
    <row r="33" spans="1:11" ht="11.25" customHeight="1" x14ac:dyDescent="0.25">
      <c r="A33" s="1381" t="s">
        <v>1328</v>
      </c>
      <c r="B33" s="2190"/>
      <c r="C33" s="2191"/>
      <c r="D33" s="2192"/>
      <c r="E33" s="2192"/>
      <c r="F33" s="2192"/>
      <c r="G33" s="2192"/>
      <c r="H33" s="2192"/>
      <c r="I33" s="2192"/>
      <c r="J33" s="2192"/>
      <c r="K33" s="2192"/>
    </row>
    <row r="34" spans="1:11" ht="11.25" customHeight="1" x14ac:dyDescent="0.25">
      <c r="A34" s="2188" t="s">
        <v>1045</v>
      </c>
      <c r="B34" s="2187"/>
      <c r="C34" s="2183"/>
      <c r="D34" s="2184"/>
      <c r="E34" s="2184"/>
      <c r="F34" s="2184"/>
      <c r="G34" s="2184"/>
      <c r="H34" s="2184"/>
      <c r="I34" s="2184"/>
      <c r="J34" s="2184"/>
      <c r="K34" s="2184"/>
    </row>
    <row r="35" spans="1:11" ht="11.25" customHeight="1" x14ac:dyDescent="0.25">
      <c r="A35" s="2189"/>
      <c r="B35" s="2182"/>
      <c r="C35" s="2183"/>
      <c r="D35" s="2184"/>
      <c r="E35" s="2184"/>
      <c r="F35" s="2184"/>
      <c r="G35" s="2184"/>
      <c r="H35" s="2184"/>
      <c r="I35" s="2184"/>
      <c r="J35" s="2184"/>
      <c r="K35" s="2184"/>
    </row>
    <row r="36" spans="1:11" ht="11.25" customHeight="1" x14ac:dyDescent="0.25">
      <c r="A36" s="1380" t="s">
        <v>2348</v>
      </c>
      <c r="B36" s="2190"/>
      <c r="C36" s="2191"/>
      <c r="D36" s="2192"/>
      <c r="E36" s="2192"/>
      <c r="F36" s="2192"/>
      <c r="G36" s="2192"/>
      <c r="H36" s="2192"/>
      <c r="I36" s="2192"/>
      <c r="J36" s="2192"/>
      <c r="K36" s="2192"/>
    </row>
    <row r="37" spans="1:11" ht="11.25" customHeight="1" x14ac:dyDescent="0.25">
      <c r="A37" s="1381" t="s">
        <v>2252</v>
      </c>
      <c r="B37" s="2187"/>
      <c r="C37" s="2183"/>
      <c r="D37" s="2184"/>
      <c r="E37" s="2184"/>
      <c r="F37" s="2184"/>
      <c r="G37" s="2184"/>
      <c r="H37" s="2184"/>
      <c r="I37" s="2184"/>
      <c r="J37" s="2184"/>
      <c r="K37" s="2184"/>
    </row>
    <row r="38" spans="1:11" ht="11.25" customHeight="1" x14ac:dyDescent="0.25">
      <c r="A38" s="2189" t="s">
        <v>2349</v>
      </c>
      <c r="B38" s="2187" t="s">
        <v>2350</v>
      </c>
      <c r="C38" s="2183"/>
      <c r="D38" s="2184"/>
      <c r="E38" s="2184"/>
      <c r="F38" s="2601">
        <v>500000</v>
      </c>
      <c r="G38" s="2601">
        <v>500000</v>
      </c>
      <c r="H38" s="2601">
        <v>500000</v>
      </c>
      <c r="I38" s="2601">
        <v>600000</v>
      </c>
      <c r="J38" s="2601">
        <v>636000</v>
      </c>
      <c r="K38" s="2601">
        <v>674160</v>
      </c>
    </row>
    <row r="39" spans="1:11" ht="11.25" customHeight="1" x14ac:dyDescent="0.25">
      <c r="A39" s="2183"/>
      <c r="B39" s="2183"/>
      <c r="C39" s="2183"/>
      <c r="D39" s="2184"/>
      <c r="E39" s="2184"/>
      <c r="F39" s="2184"/>
      <c r="G39" s="2184"/>
      <c r="H39" s="2184"/>
      <c r="I39" s="2184"/>
      <c r="J39" s="2184"/>
      <c r="K39" s="2184"/>
    </row>
    <row r="40" spans="1:11" ht="11.25" customHeight="1" x14ac:dyDescent="0.25">
      <c r="A40" s="1381" t="s">
        <v>2252</v>
      </c>
      <c r="B40" s="2190"/>
      <c r="C40" s="2191"/>
      <c r="D40" s="2192"/>
      <c r="E40" s="2192"/>
      <c r="F40" s="2192"/>
      <c r="G40" s="2192"/>
      <c r="H40" s="2192"/>
      <c r="I40" s="2192"/>
      <c r="J40" s="2192"/>
      <c r="K40" s="2192"/>
    </row>
    <row r="41" spans="1:11" ht="11.25" customHeight="1" x14ac:dyDescent="0.25">
      <c r="A41" s="2188" t="s">
        <v>2351</v>
      </c>
      <c r="B41" s="2187" t="s">
        <v>2352</v>
      </c>
      <c r="C41" s="2183"/>
      <c r="D41" s="2184"/>
      <c r="E41" s="2184"/>
      <c r="F41" s="2601">
        <v>350000</v>
      </c>
      <c r="G41" s="2601">
        <v>250000</v>
      </c>
      <c r="H41" s="2601">
        <v>250000</v>
      </c>
      <c r="I41" s="2601">
        <v>400000</v>
      </c>
      <c r="J41" s="2601">
        <v>424000</v>
      </c>
      <c r="K41" s="2601">
        <v>449440</v>
      </c>
    </row>
    <row r="42" spans="1:11" ht="11.25" customHeight="1" x14ac:dyDescent="0.25">
      <c r="A42" s="2189"/>
      <c r="B42" s="2187"/>
      <c r="C42" s="2183"/>
      <c r="D42" s="2184"/>
      <c r="E42" s="2184"/>
      <c r="F42" s="2184"/>
      <c r="G42" s="2184"/>
      <c r="H42" s="2184"/>
      <c r="I42" s="2184"/>
      <c r="J42" s="2184"/>
      <c r="K42" s="2184"/>
    </row>
    <row r="43" spans="1:11" ht="11.25" customHeight="1" x14ac:dyDescent="0.25">
      <c r="A43" s="1381" t="s">
        <v>2353</v>
      </c>
      <c r="B43" s="2193"/>
      <c r="C43" s="2191"/>
      <c r="D43" s="2192"/>
      <c r="E43" s="2192"/>
      <c r="F43" s="2192"/>
      <c r="G43" s="2192"/>
      <c r="H43" s="2192"/>
      <c r="I43" s="2192"/>
      <c r="J43" s="2192"/>
      <c r="K43" s="2192"/>
    </row>
    <row r="44" spans="1:11" ht="11.25" customHeight="1" x14ac:dyDescent="0.25">
      <c r="A44" s="2188" t="s">
        <v>2354</v>
      </c>
      <c r="B44" s="2195" t="s">
        <v>2355</v>
      </c>
      <c r="C44" s="2183"/>
      <c r="D44" s="2184"/>
      <c r="E44" s="2184"/>
      <c r="F44" s="2601">
        <v>350000</v>
      </c>
      <c r="G44" s="2601">
        <v>350000</v>
      </c>
      <c r="H44" s="2601">
        <v>350000</v>
      </c>
      <c r="I44" s="2601">
        <v>400000</v>
      </c>
      <c r="J44" s="2601">
        <v>424000</v>
      </c>
      <c r="K44" s="2601">
        <v>449440</v>
      </c>
    </row>
    <row r="45" spans="1:11" ht="11.25" customHeight="1" x14ac:dyDescent="0.25">
      <c r="A45" s="2187"/>
      <c r="B45" s="2195"/>
      <c r="C45" s="2196"/>
      <c r="D45" s="2197"/>
      <c r="E45" s="2197"/>
      <c r="F45" s="2197"/>
      <c r="G45" s="2197"/>
      <c r="H45" s="2197"/>
      <c r="I45" s="2197"/>
      <c r="J45" s="2197"/>
      <c r="K45" s="2197"/>
    </row>
    <row r="46" spans="1:11" ht="11.25" customHeight="1" x14ac:dyDescent="0.25">
      <c r="A46" s="1377" t="s">
        <v>1330</v>
      </c>
      <c r="B46" s="2187"/>
      <c r="C46" s="2183"/>
      <c r="D46" s="2184"/>
      <c r="E46" s="2184"/>
      <c r="F46" s="2184"/>
      <c r="G46" s="2184"/>
      <c r="H46" s="2184"/>
      <c r="I46" s="2184"/>
      <c r="J46" s="2184"/>
      <c r="K46" s="2184"/>
    </row>
    <row r="47" spans="1:11" ht="11.25" customHeight="1" x14ac:dyDescent="0.25">
      <c r="A47" s="1380" t="s">
        <v>2356</v>
      </c>
      <c r="B47" s="2187"/>
      <c r="C47" s="2183"/>
      <c r="D47" s="2184"/>
      <c r="E47" s="2184"/>
      <c r="F47" s="2184"/>
      <c r="G47" s="2184"/>
      <c r="H47" s="2184"/>
      <c r="I47" s="2184"/>
      <c r="J47" s="2184"/>
      <c r="K47" s="2184"/>
    </row>
    <row r="48" spans="1:11" ht="11.25" customHeight="1" x14ac:dyDescent="0.25">
      <c r="A48" s="1381" t="s">
        <v>2356</v>
      </c>
      <c r="B48" s="2187"/>
      <c r="C48" s="2183"/>
      <c r="D48" s="2184"/>
      <c r="E48" s="2184"/>
      <c r="F48" s="2184"/>
      <c r="G48" s="2184"/>
      <c r="H48" s="2184"/>
      <c r="I48" s="2184"/>
      <c r="J48" s="2184"/>
      <c r="K48" s="2184"/>
    </row>
    <row r="49" spans="1:11" ht="11.25" customHeight="1" x14ac:dyDescent="0.25">
      <c r="A49" s="2188" t="s">
        <v>2357</v>
      </c>
      <c r="B49" s="2187" t="s">
        <v>2358</v>
      </c>
      <c r="C49" s="2183"/>
      <c r="D49" s="2184"/>
      <c r="E49" s="2184"/>
      <c r="F49" s="2601">
        <v>1467175.68</v>
      </c>
      <c r="G49" s="2601">
        <v>1467175.68</v>
      </c>
      <c r="H49" s="2601">
        <v>1467175.68</v>
      </c>
      <c r="I49" s="2601">
        <v>1555206.22</v>
      </c>
      <c r="J49" s="2601">
        <v>1648518.5932</v>
      </c>
      <c r="K49" s="2601">
        <v>1747429.7087920001</v>
      </c>
    </row>
    <row r="50" spans="1:11" ht="11.25" customHeight="1" x14ac:dyDescent="0.25">
      <c r="A50" s="2189"/>
      <c r="B50" s="2187"/>
      <c r="C50" s="2183"/>
      <c r="D50" s="2184"/>
      <c r="E50" s="2184"/>
      <c r="F50" s="2184"/>
      <c r="G50" s="2184"/>
      <c r="H50" s="2184"/>
      <c r="I50" s="2184"/>
      <c r="J50" s="2184"/>
      <c r="K50" s="2184"/>
    </row>
    <row r="51" spans="1:11" ht="11.25" customHeight="1" x14ac:dyDescent="0.25">
      <c r="A51" s="1381" t="s">
        <v>2359</v>
      </c>
      <c r="B51" s="2190"/>
      <c r="C51" s="2191"/>
      <c r="D51" s="2192"/>
      <c r="E51" s="2192"/>
      <c r="F51" s="2192"/>
      <c r="G51" s="2192"/>
      <c r="H51" s="2192"/>
      <c r="I51" s="2192"/>
      <c r="J51" s="2192"/>
      <c r="K51" s="2192"/>
    </row>
    <row r="52" spans="1:11" ht="11.25" customHeight="1" x14ac:dyDescent="0.25">
      <c r="A52" s="2188" t="s">
        <v>2360</v>
      </c>
      <c r="B52" s="2187" t="s">
        <v>2361</v>
      </c>
      <c r="C52" s="2183"/>
      <c r="D52" s="2184"/>
      <c r="E52" s="2184"/>
      <c r="F52" s="2601">
        <v>3000000</v>
      </c>
      <c r="G52" s="2601">
        <v>3000000</v>
      </c>
      <c r="H52" s="2601">
        <v>3000000</v>
      </c>
      <c r="I52" s="2601">
        <v>3180000</v>
      </c>
      <c r="J52" s="2601">
        <v>3370800</v>
      </c>
      <c r="K52" s="2601">
        <v>3573048</v>
      </c>
    </row>
    <row r="53" spans="1:11" ht="11.25" customHeight="1" x14ac:dyDescent="0.25">
      <c r="A53" s="2189"/>
      <c r="B53" s="2187"/>
      <c r="C53" s="2183"/>
      <c r="D53" s="2184"/>
      <c r="E53" s="2184"/>
      <c r="F53" s="2184"/>
      <c r="G53" s="2184"/>
      <c r="H53" s="2184"/>
      <c r="I53" s="2184"/>
      <c r="J53" s="2184"/>
      <c r="K53" s="2184"/>
    </row>
    <row r="54" spans="1:11" ht="11.25" customHeight="1" x14ac:dyDescent="0.25">
      <c r="A54" s="1381" t="s">
        <v>2362</v>
      </c>
      <c r="B54" s="2190"/>
      <c r="C54" s="2191"/>
      <c r="D54" s="2192"/>
      <c r="E54" s="2192"/>
      <c r="F54" s="2192"/>
      <c r="G54" s="2192"/>
      <c r="H54" s="2192"/>
      <c r="I54" s="2192"/>
      <c r="J54" s="2192"/>
      <c r="K54" s="2192"/>
    </row>
    <row r="55" spans="1:11" ht="11.25" customHeight="1" x14ac:dyDescent="0.25">
      <c r="A55" s="2188" t="s">
        <v>2363</v>
      </c>
      <c r="B55" s="2187" t="s">
        <v>2364</v>
      </c>
      <c r="C55" s="2183"/>
      <c r="D55" s="2184"/>
      <c r="E55" s="2184"/>
      <c r="F55" s="2601">
        <v>1675000</v>
      </c>
      <c r="G55" s="2601">
        <v>1675000</v>
      </c>
      <c r="H55" s="2601">
        <v>1675000</v>
      </c>
      <c r="I55" s="2601">
        <v>1810000</v>
      </c>
      <c r="J55" s="2601">
        <v>2145000</v>
      </c>
      <c r="K55" s="2601">
        <v>2400000</v>
      </c>
    </row>
    <row r="56" spans="1:11" ht="11.25" customHeight="1" x14ac:dyDescent="0.25">
      <c r="A56" s="2189"/>
      <c r="B56" s="2187"/>
      <c r="C56" s="2183"/>
      <c r="D56" s="2184"/>
      <c r="E56" s="2184"/>
      <c r="F56" s="2184"/>
      <c r="G56" s="2184"/>
      <c r="H56" s="2184"/>
      <c r="I56" s="2184"/>
      <c r="J56" s="2184"/>
      <c r="K56" s="2184"/>
    </row>
    <row r="57" spans="1:11" ht="11.25" customHeight="1" x14ac:dyDescent="0.25">
      <c r="A57" s="1380" t="s">
        <v>2240</v>
      </c>
      <c r="B57" s="2190"/>
      <c r="C57" s="2191"/>
      <c r="D57" s="2192"/>
      <c r="E57" s="2192"/>
      <c r="F57" s="2192"/>
      <c r="G57" s="2192"/>
      <c r="H57" s="2192"/>
      <c r="I57" s="2192"/>
      <c r="J57" s="2192"/>
      <c r="K57" s="2192"/>
    </row>
    <row r="58" spans="1:11" ht="11.25" customHeight="1" x14ac:dyDescent="0.25">
      <c r="A58" s="1381" t="s">
        <v>2240</v>
      </c>
      <c r="B58" s="2187"/>
      <c r="C58" s="2183"/>
      <c r="D58" s="2184"/>
      <c r="E58" s="2184"/>
      <c r="F58" s="2184"/>
      <c r="G58" s="2184"/>
      <c r="H58" s="2184"/>
      <c r="I58" s="2184"/>
      <c r="J58" s="2184"/>
      <c r="K58" s="2184"/>
    </row>
    <row r="59" spans="1:11" ht="11.25" customHeight="1" x14ac:dyDescent="0.25">
      <c r="A59" s="2188" t="s">
        <v>2365</v>
      </c>
      <c r="B59" s="2187" t="s">
        <v>2366</v>
      </c>
      <c r="C59" s="2183"/>
      <c r="D59" s="2184"/>
      <c r="E59" s="2184"/>
      <c r="F59" s="2601">
        <v>394000</v>
      </c>
      <c r="G59" s="2601">
        <v>394000</v>
      </c>
      <c r="H59" s="2601">
        <v>394000</v>
      </c>
      <c r="I59" s="2601">
        <v>106000</v>
      </c>
      <c r="J59" s="2601">
        <v>112360</v>
      </c>
      <c r="K59" s="2601">
        <v>119101.6</v>
      </c>
    </row>
    <row r="60" spans="1:11" ht="11.25" customHeight="1" x14ac:dyDescent="0.25">
      <c r="A60" s="2189"/>
      <c r="B60" s="2187"/>
      <c r="C60" s="2183"/>
      <c r="D60" s="2184"/>
      <c r="E60" s="2184"/>
      <c r="F60" s="2184"/>
      <c r="G60" s="2184"/>
      <c r="H60" s="2184"/>
      <c r="I60" s="2184"/>
      <c r="J60" s="2184"/>
      <c r="K60" s="2184"/>
    </row>
    <row r="61" spans="1:11" ht="11.25" customHeight="1" x14ac:dyDescent="0.25">
      <c r="A61" s="1381" t="s">
        <v>2240</v>
      </c>
      <c r="B61" s="2190"/>
      <c r="C61" s="2191"/>
      <c r="D61" s="2192"/>
      <c r="E61" s="2192"/>
      <c r="F61" s="2192"/>
      <c r="G61" s="2192"/>
      <c r="H61" s="2192"/>
      <c r="I61" s="2192"/>
      <c r="J61" s="2192"/>
      <c r="K61" s="2192"/>
    </row>
    <row r="62" spans="1:11" ht="11.25" customHeight="1" x14ac:dyDescent="0.25">
      <c r="A62" s="2188" t="s">
        <v>2367</v>
      </c>
      <c r="B62" s="2187" t="s">
        <v>2368</v>
      </c>
      <c r="C62" s="2183"/>
      <c r="D62" s="2184"/>
      <c r="E62" s="2184"/>
      <c r="F62" s="2601">
        <v>980000</v>
      </c>
      <c r="G62" s="2601">
        <v>980000</v>
      </c>
      <c r="H62" s="2601">
        <v>980000</v>
      </c>
      <c r="I62" s="2601">
        <v>980000</v>
      </c>
      <c r="J62" s="2601">
        <v>1038800</v>
      </c>
      <c r="K62" s="2601">
        <v>1101128</v>
      </c>
    </row>
    <row r="63" spans="1:11" ht="11.25" customHeight="1" x14ac:dyDescent="0.25">
      <c r="A63" s="2189"/>
      <c r="B63" s="2187"/>
      <c r="C63" s="2183"/>
      <c r="D63" s="2184"/>
      <c r="E63" s="2184"/>
      <c r="F63" s="2184"/>
      <c r="G63" s="2184"/>
      <c r="H63" s="2184"/>
      <c r="I63" s="2184"/>
      <c r="J63" s="2184"/>
      <c r="K63" s="2184"/>
    </row>
    <row r="64" spans="1:11" ht="11.25" customHeight="1" x14ac:dyDescent="0.25">
      <c r="A64" s="1381" t="s">
        <v>2240</v>
      </c>
      <c r="B64" s="2190"/>
      <c r="C64" s="2191"/>
      <c r="D64" s="2192"/>
      <c r="E64" s="2192"/>
      <c r="F64" s="2192"/>
      <c r="G64" s="2192"/>
      <c r="H64" s="2192"/>
      <c r="I64" s="2192"/>
      <c r="J64" s="2192"/>
      <c r="K64" s="2192"/>
    </row>
    <row r="65" spans="1:11" ht="11.25" customHeight="1" x14ac:dyDescent="0.25">
      <c r="A65" s="2188" t="s">
        <v>2369</v>
      </c>
      <c r="B65" s="2187" t="s">
        <v>2370</v>
      </c>
      <c r="C65" s="2183"/>
      <c r="D65" s="2184"/>
      <c r="E65" s="2184"/>
      <c r="F65" s="2601">
        <v>150000</v>
      </c>
      <c r="G65" s="2601">
        <v>150000</v>
      </c>
      <c r="H65" s="2601">
        <v>150000</v>
      </c>
      <c r="I65" s="2184"/>
      <c r="J65" s="2184"/>
      <c r="K65" s="2184"/>
    </row>
    <row r="66" spans="1:11" ht="11.25" customHeight="1" x14ac:dyDescent="0.25">
      <c r="A66" s="2188"/>
      <c r="B66" s="2187"/>
      <c r="C66" s="2183"/>
      <c r="D66" s="2184"/>
      <c r="E66" s="2184"/>
      <c r="F66" s="2184"/>
      <c r="G66" s="2184"/>
      <c r="H66" s="2184"/>
      <c r="I66" s="2184"/>
      <c r="J66" s="2184"/>
      <c r="K66" s="2184"/>
    </row>
    <row r="67" spans="1:11" ht="11.25" customHeight="1" x14ac:dyDescent="0.25">
      <c r="A67" s="2198" t="s">
        <v>1331</v>
      </c>
      <c r="B67" s="2195"/>
      <c r="C67" s="2196"/>
      <c r="D67" s="2197"/>
      <c r="E67" s="2197"/>
      <c r="F67" s="2197"/>
      <c r="G67" s="2197"/>
      <c r="H67" s="2197"/>
      <c r="I67" s="2197"/>
      <c r="J67" s="2197"/>
      <c r="K67" s="2197"/>
    </row>
    <row r="68" spans="1:11" ht="11.25" customHeight="1" x14ac:dyDescent="0.25">
      <c r="A68" s="2693" t="s">
        <v>171</v>
      </c>
      <c r="B68" s="2693"/>
      <c r="C68" s="2693"/>
      <c r="D68" s="2693"/>
      <c r="E68" s="2693"/>
      <c r="F68" s="2693"/>
      <c r="G68" s="2693"/>
      <c r="H68" s="2693"/>
      <c r="I68" s="2693"/>
      <c r="J68" s="2693"/>
      <c r="K68" s="2693"/>
    </row>
    <row r="69" spans="1:11" ht="11.25" customHeight="1" x14ac:dyDescent="0.25">
      <c r="A69" s="338" t="s">
        <v>1326</v>
      </c>
      <c r="B69" s="21"/>
      <c r="C69" s="339"/>
      <c r="D69" s="339"/>
      <c r="E69" s="339"/>
      <c r="F69" s="340"/>
      <c r="G69" s="340"/>
      <c r="H69" s="340"/>
      <c r="I69" s="340"/>
      <c r="J69" s="340"/>
      <c r="K69" s="340"/>
    </row>
    <row r="70" spans="1:11" ht="11.25" customHeight="1" x14ac:dyDescent="0.25">
      <c r="A70" s="338" t="s">
        <v>1297</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LIM471 Ephraim Mogale - Entities measureable performance objectives</v>
      </c>
      <c r="B72" s="25"/>
      <c r="C72" s="25"/>
      <c r="D72" s="25"/>
      <c r="E72" s="25"/>
      <c r="F72" s="25"/>
      <c r="G72" s="25"/>
      <c r="H72" s="25"/>
      <c r="I72" s="25"/>
      <c r="J72" s="25"/>
      <c r="K72" s="25"/>
    </row>
    <row r="73" spans="1:11" ht="28.5" customHeight="1" x14ac:dyDescent="0.25">
      <c r="A73" s="2691" t="str">
        <f>A2</f>
        <v>Description</v>
      </c>
      <c r="B73" s="2689" t="s">
        <v>397</v>
      </c>
      <c r="C73" s="23" t="str">
        <f>head1b</f>
        <v>2012/13</v>
      </c>
      <c r="D73" s="28" t="str">
        <f>head1A</f>
        <v>2013/14</v>
      </c>
      <c r="E73" s="24" t="str">
        <f>Head1</f>
        <v>2014/15</v>
      </c>
      <c r="F73" s="2653" t="str">
        <f>Head2</f>
        <v>Current Year 2015/16</v>
      </c>
      <c r="G73" s="2654"/>
      <c r="H73" s="2658"/>
      <c r="I73" s="2650" t="str">
        <f>Head3</f>
        <v>2016/17 Medium Term Revenue &amp; Expenditure Framework</v>
      </c>
      <c r="J73" s="2651"/>
      <c r="K73" s="2652"/>
    </row>
    <row r="74" spans="1:11" ht="25.5" x14ac:dyDescent="0.25">
      <c r="A74" s="2692"/>
      <c r="B74" s="2690"/>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2016/17</v>
      </c>
      <c r="J74" s="267" t="str">
        <f>Head10</f>
        <v>Budget Year +1 2017/18</v>
      </c>
      <c r="K74" s="268" t="str">
        <f>Head11</f>
        <v>Budget Year +2 2018/19</v>
      </c>
    </row>
    <row r="75" spans="1:11" ht="11.25" customHeight="1" x14ac:dyDescent="0.25">
      <c r="A75" s="1379" t="s">
        <v>1332</v>
      </c>
      <c r="B75" s="2182"/>
      <c r="C75" s="2199"/>
      <c r="D75" s="2200"/>
      <c r="E75" s="2201"/>
      <c r="F75" s="2202"/>
      <c r="G75" s="2200"/>
      <c r="H75" s="2203"/>
      <c r="I75" s="2204"/>
      <c r="J75" s="2200"/>
      <c r="K75" s="2201"/>
    </row>
    <row r="76" spans="1:11" ht="11.25" customHeight="1" x14ac:dyDescent="0.25">
      <c r="A76" s="2205" t="s">
        <v>1045</v>
      </c>
      <c r="B76" s="2187"/>
      <c r="C76" s="2199"/>
      <c r="D76" s="2200"/>
      <c r="E76" s="2201"/>
      <c r="F76" s="2202"/>
      <c r="G76" s="2200"/>
      <c r="H76" s="2203"/>
      <c r="I76" s="2206"/>
      <c r="J76" s="2200"/>
      <c r="K76" s="2201"/>
    </row>
    <row r="77" spans="1:11" ht="11.25" customHeight="1" x14ac:dyDescent="0.25">
      <c r="A77" s="2205"/>
      <c r="B77" s="2187"/>
      <c r="C77" s="2199"/>
      <c r="D77" s="2200"/>
      <c r="E77" s="2201"/>
      <c r="F77" s="2202"/>
      <c r="G77" s="2200"/>
      <c r="H77" s="2203"/>
      <c r="I77" s="2206"/>
      <c r="J77" s="2200"/>
      <c r="K77" s="2201"/>
    </row>
    <row r="78" spans="1:11" ht="11.25" customHeight="1" x14ac:dyDescent="0.25">
      <c r="A78" s="2207"/>
      <c r="B78" s="2187"/>
      <c r="C78" s="2199"/>
      <c r="D78" s="2200"/>
      <c r="E78" s="2201"/>
      <c r="F78" s="2202"/>
      <c r="G78" s="2200"/>
      <c r="H78" s="2203"/>
      <c r="I78" s="2206"/>
      <c r="J78" s="2200"/>
      <c r="K78" s="2201"/>
    </row>
    <row r="79" spans="1:11" ht="11.25" customHeight="1" x14ac:dyDescent="0.25">
      <c r="A79" s="1379" t="s">
        <v>1333</v>
      </c>
      <c r="B79" s="2208"/>
      <c r="C79" s="2209"/>
      <c r="D79" s="2210"/>
      <c r="E79" s="2211"/>
      <c r="F79" s="2212"/>
      <c r="G79" s="2210"/>
      <c r="H79" s="2213"/>
      <c r="I79" s="2204"/>
      <c r="J79" s="2210"/>
      <c r="K79" s="2211"/>
    </row>
    <row r="80" spans="1:11" ht="11.25" customHeight="1" x14ac:dyDescent="0.25">
      <c r="A80" s="2205" t="str">
        <f>$A$10</f>
        <v>PURCHASE OF 2 DUMPER TRUCKS</v>
      </c>
      <c r="B80" s="2187"/>
      <c r="C80" s="2199"/>
      <c r="D80" s="2200"/>
      <c r="E80" s="2201"/>
      <c r="F80" s="2202"/>
      <c r="G80" s="2200"/>
      <c r="H80" s="2203"/>
      <c r="I80" s="2206"/>
      <c r="J80" s="2200"/>
      <c r="K80" s="2201"/>
    </row>
    <row r="81" spans="1:11" ht="11.25" customHeight="1" x14ac:dyDescent="0.25">
      <c r="A81" s="2205"/>
      <c r="B81" s="2187"/>
      <c r="C81" s="2199"/>
      <c r="D81" s="2200"/>
      <c r="E81" s="2201"/>
      <c r="F81" s="2202"/>
      <c r="G81" s="2200"/>
      <c r="H81" s="2203"/>
      <c r="I81" s="2206"/>
      <c r="J81" s="2200"/>
      <c r="K81" s="2201"/>
    </row>
    <row r="82" spans="1:11" ht="11.25" customHeight="1" x14ac:dyDescent="0.25">
      <c r="A82" s="2205"/>
      <c r="B82" s="2214"/>
      <c r="C82" s="2215"/>
      <c r="D82" s="2216"/>
      <c r="E82" s="2217"/>
      <c r="F82" s="2218"/>
      <c r="G82" s="2216"/>
      <c r="H82" s="2219"/>
      <c r="I82" s="2220"/>
      <c r="J82" s="2216"/>
      <c r="K82" s="2217"/>
    </row>
    <row r="83" spans="1:11" ht="11.25" customHeight="1" x14ac:dyDescent="0.25">
      <c r="A83" s="1379" t="s">
        <v>1334</v>
      </c>
      <c r="B83" s="2221"/>
      <c r="C83" s="2222"/>
      <c r="D83" s="2223"/>
      <c r="E83" s="2224"/>
      <c r="F83" s="2225"/>
      <c r="G83" s="2223"/>
      <c r="H83" s="2226"/>
      <c r="I83" s="2227"/>
      <c r="J83" s="2223"/>
      <c r="K83" s="2224"/>
    </row>
    <row r="84" spans="1:11" ht="11.25" customHeight="1" x14ac:dyDescent="0.25">
      <c r="A84" s="2205" t="str">
        <f>$A$10</f>
        <v>PURCHASE OF 2 DUMPER TRUCKS</v>
      </c>
      <c r="B84" s="2187"/>
      <c r="C84" s="2228"/>
      <c r="D84" s="2229"/>
      <c r="E84" s="2230"/>
      <c r="F84" s="2231"/>
      <c r="G84" s="2229"/>
      <c r="H84" s="2232"/>
      <c r="I84" s="2233"/>
      <c r="J84" s="2229"/>
      <c r="K84" s="2230"/>
    </row>
    <row r="85" spans="1:11" ht="11.25" customHeight="1" x14ac:dyDescent="0.25">
      <c r="A85" s="2205"/>
      <c r="B85" s="2214"/>
      <c r="C85" s="2215"/>
      <c r="D85" s="2216"/>
      <c r="E85" s="2217"/>
      <c r="F85" s="2218"/>
      <c r="G85" s="2216"/>
      <c r="H85" s="2219"/>
      <c r="I85" s="2220"/>
      <c r="J85" s="2216"/>
      <c r="K85" s="2217"/>
    </row>
    <row r="86" spans="1:11" ht="11.25" customHeight="1" x14ac:dyDescent="0.25">
      <c r="A86" s="2205"/>
      <c r="B86" s="2214"/>
      <c r="C86" s="2215"/>
      <c r="D86" s="2216"/>
      <c r="E86" s="2217"/>
      <c r="F86" s="2218"/>
      <c r="G86" s="2216"/>
      <c r="H86" s="2219"/>
      <c r="I86" s="2220"/>
      <c r="J86" s="2216"/>
      <c r="K86" s="2217"/>
    </row>
    <row r="87" spans="1:11" ht="11.25" customHeight="1" x14ac:dyDescent="0.25">
      <c r="A87" s="2198" t="s">
        <v>1335</v>
      </c>
      <c r="B87" s="2234"/>
      <c r="C87" s="2235"/>
      <c r="D87" s="2236"/>
      <c r="E87" s="2237"/>
      <c r="F87" s="2238"/>
      <c r="G87" s="2236"/>
      <c r="H87" s="2239"/>
      <c r="I87" s="2240"/>
      <c r="J87" s="2236"/>
      <c r="K87" s="2237"/>
    </row>
    <row r="88" spans="1:11" ht="11.25" customHeight="1" x14ac:dyDescent="0.25">
      <c r="A88" s="2693" t="s">
        <v>172</v>
      </c>
      <c r="B88" s="2693"/>
      <c r="C88" s="2693"/>
      <c r="D88" s="2693"/>
      <c r="E88" s="2693"/>
      <c r="F88" s="2693"/>
      <c r="G88" s="2693"/>
      <c r="H88" s="2693"/>
      <c r="I88" s="2693"/>
      <c r="J88" s="2693"/>
      <c r="K88" s="2693"/>
    </row>
    <row r="89" spans="1:11" ht="11.25" customHeight="1" x14ac:dyDescent="0.25">
      <c r="A89" s="338" t="s">
        <v>1298</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0" activePane="bottomRight" state="frozen"/>
      <selection pane="topRight"/>
      <selection pane="bottomLeft"/>
      <selection pane="bottomRight" activeCell="G59" sqref="G59"/>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LIM471 Ephraim Mogale - Supporting Table SA8 Performance indicators and benchmarks</v>
      </c>
      <c r="B1" s="25"/>
      <c r="C1" s="25"/>
      <c r="D1" s="25"/>
      <c r="E1" s="25"/>
      <c r="F1" s="25"/>
      <c r="G1" s="25"/>
      <c r="H1" s="25"/>
      <c r="I1" s="25"/>
      <c r="J1" s="25"/>
      <c r="K1" s="25"/>
      <c r="L1" s="25"/>
    </row>
    <row r="2" spans="1:12" ht="28.5" customHeight="1" x14ac:dyDescent="0.25">
      <c r="A2" s="2691" t="s">
        <v>324</v>
      </c>
      <c r="B2" s="2689" t="s">
        <v>1038</v>
      </c>
      <c r="C2" s="23" t="str">
        <f>head1b</f>
        <v>2012/13</v>
      </c>
      <c r="D2" s="28" t="str">
        <f>head1A</f>
        <v>2013/14</v>
      </c>
      <c r="E2" s="24" t="str">
        <f>Head1</f>
        <v>2014/15</v>
      </c>
      <c r="F2" s="2653" t="str">
        <f>Head2</f>
        <v>Current Year 2015/16</v>
      </c>
      <c r="G2" s="2654"/>
      <c r="H2" s="2654"/>
      <c r="I2" s="2654"/>
      <c r="J2" s="2650" t="str">
        <f>Head3</f>
        <v>2016/17 Medium Term Revenue &amp; Expenditure Framework</v>
      </c>
      <c r="K2" s="2651"/>
      <c r="L2" s="2652"/>
    </row>
    <row r="3" spans="1:12" ht="38.25" x14ac:dyDescent="0.25">
      <c r="A3" s="2692"/>
      <c r="B3" s="2690"/>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747</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906</v>
      </c>
      <c r="B6" s="348"/>
      <c r="C6" s="2241"/>
      <c r="D6" s="2242"/>
      <c r="E6" s="2243"/>
      <c r="F6" s="2244"/>
      <c r="G6" s="2242"/>
      <c r="H6" s="2243"/>
      <c r="I6" s="2245"/>
      <c r="J6" s="355"/>
      <c r="K6" s="356"/>
      <c r="L6" s="357"/>
    </row>
    <row r="7" spans="1:12" ht="25.5" x14ac:dyDescent="0.25">
      <c r="A7" s="354" t="s">
        <v>564</v>
      </c>
      <c r="B7" s="348" t="s">
        <v>1384</v>
      </c>
      <c r="C7" s="349">
        <f>IF(ISERROR(('A4-FinPerf RE'!C29-'A7-CFlow'!C35)/'A4-FinPerf RE'!C36),0,(('A4-FinPerf RE'!C29-'A7-CFlow'!C35)/'A4-FinPerf RE'!C36))</f>
        <v>1.7704709571640088E-2</v>
      </c>
      <c r="D7" s="350">
        <f>IF(ISERROR(('A4-FinPerf RE'!D29-'A7-CFlow'!D35)/'A4-FinPerf RE'!D36),0,(('A4-FinPerf RE'!D29-'A7-CFlow'!D35)/'A4-FinPerf RE'!D36))</f>
        <v>8.5111012212640454E-3</v>
      </c>
      <c r="E7" s="351">
        <f>IF(ISERROR(('A4-FinPerf RE'!E29-'A7-CFlow'!E35)/'A4-FinPerf RE'!E36),0,(('A4-FinPerf RE'!E29-'A7-CFlow'!E35)/'A4-FinPerf RE'!E36))</f>
        <v>2.6186575992637488E-3</v>
      </c>
      <c r="F7" s="352">
        <f>IF(ISERROR(('A4-FinPerf RE'!F29-'A7-CFlow'!F35)/'A4-FinPerf RE'!F36),0,(('A4-FinPerf RE'!F29-'A7-CFlow'!F35)/'A4-FinPerf RE'!F36))</f>
        <v>1.1662127796968652E-2</v>
      </c>
      <c r="G7" s="350">
        <f>IF(ISERROR(('A4-FinPerf RE'!G29-'A7-CFlow'!G35)/'A4-FinPerf RE'!G36),0,(('A4-FinPerf RE'!G29-'A7-CFlow'!G35)/'A4-FinPerf RE'!G36))</f>
        <v>9.2419181740772266E-3</v>
      </c>
      <c r="H7" s="351">
        <f>IF(ISERROR(('A4-FinPerf RE'!H29-'A7-CFlow'!H35)/'A4-FinPerf RE'!H36),0,(('A4-FinPerf RE'!H29-'A7-CFlow'!H35)/'A4-FinPerf RE'!H36))</f>
        <v>9.2419181740772266E-3</v>
      </c>
      <c r="I7" s="353">
        <f>IF(ISERROR(('A4-FinPerf RE'!I29-'A7-CFlow'!I35)/'A4-FinPerf RE'!I36),0,(('A4-FinPerf RE'!I29-'A7-CFlow'!I35)/'A4-FinPerf RE'!I36))</f>
        <v>9.2419181740772266E-3</v>
      </c>
      <c r="J7" s="349">
        <f>IF(ISERROR(('A4-FinPerf RE'!J29-'A7-CFlow'!J35)/'A4-FinPerf RE'!J36),0,(('A4-FinPerf RE'!J29-'A7-CFlow'!J35)/'A4-FinPerf RE'!J36))</f>
        <v>8.4807007722726511E-3</v>
      </c>
      <c r="K7" s="350">
        <f>IF(ISERROR(('A4-FinPerf RE'!K29-'A7-CFlow'!K35)/'A4-FinPerf RE'!K36),0,(('A4-FinPerf RE'!K29-'A7-CFlow'!K35)/'A4-FinPerf RE'!K36))</f>
        <v>8.5220503049516123E-3</v>
      </c>
      <c r="L7" s="351">
        <f>IF(ISERROR(('A4-FinPerf RE'!L29-'A7-CFlow'!L35)/'A4-FinPerf RE'!L36),0,(('A4-FinPerf RE'!L29-'A7-CFlow'!L35)/'A4-FinPerf RE'!L36))</f>
        <v>8.5006597503092824E-3</v>
      </c>
    </row>
    <row r="8" spans="1:12" ht="25.5" x14ac:dyDescent="0.25">
      <c r="A8" s="354" t="s">
        <v>2098</v>
      </c>
      <c r="B8" s="348" t="s">
        <v>2110</v>
      </c>
      <c r="C8" s="349">
        <f>IF(ISERROR(('A4-FinPerf RE'!C29-'A7-CFlow'!C35)/('A4-FinPerf RE'!C22-'A4-FinPerf RE'!C19)),0,(('A4-FinPerf RE'!C29-'A7-CFlow'!C35)/('A4-FinPerf RE'!C22-'A4-FinPerf RE'!C19)))</f>
        <v>3.6048523822658406E-2</v>
      </c>
      <c r="D8" s="350">
        <f>IF(ISERROR(('A4-FinPerf RE'!D29-'A7-CFlow'!D35)/('A4-FinPerf RE'!D22-'A4-FinPerf RE'!D19)),0,(('A4-FinPerf RE'!D29-'A7-CFlow'!D35)/('A4-FinPerf RE'!D22-'A4-FinPerf RE'!D19)))</f>
        <v>1.762476427572961E-2</v>
      </c>
      <c r="E8" s="351">
        <f>IF(ISERROR(('A4-FinPerf RE'!E29-'A7-CFlow'!E35)/('A4-FinPerf RE'!E22-'A4-FinPerf RE'!E19)),0,(('A4-FinPerf RE'!E29-'A7-CFlow'!E35)/('A4-FinPerf RE'!E22-'A4-FinPerf RE'!E19)))</f>
        <v>5.0674909424937705E-3</v>
      </c>
      <c r="F8" s="352">
        <f>IF(ISERROR(('A4-FinPerf RE'!F29-'A7-CFlow'!F35)/('A4-FinPerf RE'!F22-'A4-FinPerf RE'!F19)),0,(('A4-FinPerf RE'!F29-'A7-CFlow'!F35)/('A4-FinPerf RE'!F22-'A4-FinPerf RE'!F19)))</f>
        <v>3.4762493135283963E-2</v>
      </c>
      <c r="G8" s="350">
        <f>IF(ISERROR(('A4-FinPerf RE'!G29-'A7-CFlow'!G35)/('A4-FinPerf RE'!G22-'A4-FinPerf RE'!G19)),0,(('A4-FinPerf RE'!G29-'A7-CFlow'!G35)/('A4-FinPerf RE'!G22-'A4-FinPerf RE'!G19)))</f>
        <v>2.7232244648705748E-2</v>
      </c>
      <c r="H8" s="351">
        <f>IF(ISERROR(('A4-FinPerf RE'!H29-'A7-CFlow'!H35)/('A4-FinPerf RE'!H22-'A4-FinPerf RE'!H19)),0,(('A4-FinPerf RE'!H29-'A7-CFlow'!H35)/('A4-FinPerf RE'!H22-'A4-FinPerf RE'!H19)))</f>
        <v>2.7232244648705748E-2</v>
      </c>
      <c r="I8" s="353">
        <f>IF(ISERROR(('A4-FinPerf RE'!I29-'A7-CFlow'!I35)/('A4-FinPerf RE'!I22-'A4-FinPerf RE'!I19)),0,(('A4-FinPerf RE'!I29-'A7-CFlow'!I35)/('A4-FinPerf RE'!I22-'A4-FinPerf RE'!I19)))</f>
        <v>2.7232244648705748E-2</v>
      </c>
      <c r="J8" s="349">
        <f>IF(ISERROR(('A4-FinPerf RE'!J29-'A7-CFlow'!J35)/('A4-FinPerf RE'!J22-'A4-FinPerf RE'!J19)),0,(('A4-FinPerf RE'!J29-'A7-CFlow'!J35)/('A4-FinPerf RE'!J22-'A4-FinPerf RE'!J19)))</f>
        <v>2.4550334495248148E-2</v>
      </c>
      <c r="K8" s="350">
        <f>IF(ISERROR(('A4-FinPerf RE'!K29-'A7-CFlow'!K35)/('A4-FinPerf RE'!K22-'A4-FinPerf RE'!K19)),0,(('A4-FinPerf RE'!K29-'A7-CFlow'!K35)/('A4-FinPerf RE'!K22-'A4-FinPerf RE'!K19)))</f>
        <v>2.4550334476075301E-2</v>
      </c>
      <c r="L8" s="351">
        <f>IF(ISERROR(('A4-FinPerf RE'!L29-'A7-CFlow'!L35)/('A4-FinPerf RE'!L22-'A4-FinPerf RE'!L19)),0,(('A4-FinPerf RE'!L29-'A7-CFlow'!L35)/('A4-FinPerf RE'!L22-'A4-FinPerf RE'!L19)))</f>
        <v>2.4550334387369532E-2</v>
      </c>
    </row>
    <row r="9" spans="1:12" ht="25.5" x14ac:dyDescent="0.25">
      <c r="A9" s="354" t="s">
        <v>863</v>
      </c>
      <c r="B9" s="348" t="s">
        <v>355</v>
      </c>
      <c r="C9" s="349">
        <f>IF(ISERROR(C49/C48),0,(C49/C48))</f>
        <v>0</v>
      </c>
      <c r="D9" s="350">
        <f>IF(ISERROR(D49/D48),0,(D49/D48))</f>
        <v>5.9283734636197821E-2</v>
      </c>
      <c r="E9" s="351">
        <f t="shared" ref="E9:L9" si="0">IF(ISERROR(E49/E48),0,(E49/E48))</f>
        <v>0</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565</v>
      </c>
      <c r="B13" s="348" t="s">
        <v>1388</v>
      </c>
      <c r="C13" s="364">
        <f>IF(ISERROR('A6-FinPos'!C12/'A6-FinPos'!C34),0,('A6-FinPos'!C12/'A6-FinPos'!C34))</f>
        <v>2.1194789958704141</v>
      </c>
      <c r="D13" s="365">
        <f>IF(ISERROR('A6-FinPos'!D12/'A6-FinPos'!D34),0,('A6-FinPos'!D12/'A6-FinPos'!D34))</f>
        <v>1.404720975206079</v>
      </c>
      <c r="E13" s="366">
        <f>IF(ISERROR('A6-FinPos'!E12/'A6-FinPos'!E34),0,('A6-FinPos'!E12/'A6-FinPos'!E34))</f>
        <v>2.1682453810181195</v>
      </c>
      <c r="F13" s="367">
        <f>IF(ISERROR('A6-FinPos'!F12/'A6-FinPos'!F34),0,('A6-FinPos'!F12/'A6-FinPos'!F34))</f>
        <v>8.5</v>
      </c>
      <c r="G13" s="365">
        <f>IF(ISERROR('A6-FinPos'!G12/'A6-FinPos'!G34),0,('A6-FinPos'!G12/'A6-FinPos'!G34))</f>
        <v>8.5</v>
      </c>
      <c r="H13" s="366">
        <f>IF(ISERROR('A6-FinPos'!H12/'A6-FinPos'!H34),0,('A6-FinPos'!H12/'A6-FinPos'!H34))</f>
        <v>8.5</v>
      </c>
      <c r="I13" s="368">
        <f>IF(ISERROR('A6-FinPos'!I12/'A6-FinPos'!I34),0,('A6-FinPos'!I12/'A6-FinPos'!I34))</f>
        <v>8.5</v>
      </c>
      <c r="J13" s="364">
        <f>IF(ISERROR('A6-FinPos'!J12/'A6-FinPos'!J34),0,('A6-FinPos'!J12/'A6-FinPos'!J34))</f>
        <v>8.5</v>
      </c>
      <c r="K13" s="365">
        <f>IF(ISERROR('A6-FinPos'!K12/'A6-FinPos'!K34),0,('A6-FinPos'!K12/'A6-FinPos'!K34))</f>
        <v>8.5</v>
      </c>
      <c r="L13" s="366">
        <f>IF(ISERROR('A6-FinPos'!L12/'A6-FinPos'!L34),0,('A6-FinPos'!L12/'A6-FinPos'!L34))</f>
        <v>8.5</v>
      </c>
    </row>
    <row r="14" spans="1:12" ht="25.5" x14ac:dyDescent="0.25">
      <c r="A14" s="354" t="s">
        <v>1385</v>
      </c>
      <c r="B14" s="348" t="s">
        <v>1337</v>
      </c>
      <c r="C14" s="364">
        <f>IF(ISERROR(('A6-FinPos'!C12-'SA8'!C45)/'A6-FinPos'!C34),0,(('A6-FinPos'!C12-'SA8'!C45)/'A6-FinPos'!C34))</f>
        <v>2.1194789958704141</v>
      </c>
      <c r="D14" s="365">
        <f>IF(ISERROR(('A6-FinPos'!D12-'SA8'!D45)/'A6-FinPos'!D34),0,(('A6-FinPos'!D12-'SA8'!D45)/'A6-FinPos'!D34))</f>
        <v>1.404720975206079</v>
      </c>
      <c r="E14" s="366">
        <f>IF(ISERROR(('A6-FinPos'!E12-'SA8'!E45)/'A6-FinPos'!E34),0,(('A6-FinPos'!E12-'SA8'!E45)/'A6-FinPos'!E34))</f>
        <v>2.1682453810181195</v>
      </c>
      <c r="F14" s="367">
        <f>IF(ISERROR(('A6-FinPos'!F12-'SA8'!F45)/'A6-FinPos'!F34),0,(('A6-FinPos'!F12-'SA8'!F45)/'A6-FinPos'!F34))</f>
        <v>8.5</v>
      </c>
      <c r="G14" s="365">
        <f>IF(ISERROR(('A6-FinPos'!G12-'SA8'!G45)/'A6-FinPos'!G34),0,(('A6-FinPos'!G12-'SA8'!G45)/'A6-FinPos'!G34))</f>
        <v>8.5</v>
      </c>
      <c r="H14" s="366">
        <f>IF(ISERROR(('A6-FinPos'!H12-'SA8'!H45)/'A6-FinPos'!H34),0,(('A6-FinPos'!H12-'SA8'!H45)/'A6-FinPos'!H34))</f>
        <v>8.5</v>
      </c>
      <c r="I14" s="368">
        <f>IF(ISERROR(('A6-FinPos'!I12-'SA8'!I45)/'A6-FinPos'!I34),0,(('A6-FinPos'!I12-'SA8'!I45)/'A6-FinPos'!I34))</f>
        <v>8.5</v>
      </c>
      <c r="J14" s="364">
        <f>IF(ISERROR(('A6-FinPos'!J12-'SA8'!J45)/'A6-FinPos'!J34),0,(('A6-FinPos'!J12-'SA8'!J45)/'A6-FinPos'!J34))</f>
        <v>8.5</v>
      </c>
      <c r="K14" s="365">
        <f>IF(ISERROR(('A6-FinPos'!K12-'SA8'!K45)/'A6-FinPos'!K34),0,(('A6-FinPos'!K12-'SA8'!K45)/'A6-FinPos'!K34))</f>
        <v>8.5</v>
      </c>
      <c r="L14" s="366">
        <f>IF(ISERROR(('A6-FinPos'!L12-'SA8'!L45)/'A6-FinPos'!L34),0,(('A6-FinPos'!L12-'SA8'!L45)/'A6-FinPos'!L34))</f>
        <v>8.5</v>
      </c>
    </row>
    <row r="15" spans="1:12" x14ac:dyDescent="0.25">
      <c r="A15" s="354" t="s">
        <v>332</v>
      </c>
      <c r="B15" s="348" t="s">
        <v>852</v>
      </c>
      <c r="C15" s="364">
        <f>IF(ISERROR(('A6-FinPos'!C6+'A6-FinPos'!C7)/'A6-FinPos'!C34),0,(('A6-FinPos'!C6+'A6-FinPos'!C7)/'A6-FinPos'!C34))</f>
        <v>1.9209333336413479</v>
      </c>
      <c r="D15" s="365">
        <f>IF(ISERROR(('A6-FinPos'!D6+'A6-FinPos'!D7)/'A6-FinPos'!D34),0,(('A6-FinPos'!D6+'A6-FinPos'!D7)/'A6-FinPos'!D34))</f>
        <v>0.99684941948087613</v>
      </c>
      <c r="E15" s="366">
        <f>IF(ISERROR(('A6-FinPos'!E6+'A6-FinPos'!E7)/'A6-FinPos'!E34),0,(('A6-FinPos'!E6+'A6-FinPos'!E7)/'A6-FinPos'!E34))</f>
        <v>1.6677441114809273</v>
      </c>
      <c r="F15" s="367">
        <f>IF(ISERROR(('A6-FinPos'!F6+'A6-FinPos'!F7)/'A6-FinPos'!F34),0,(('A6-FinPos'!F6+'A6-FinPos'!F7)/'A6-FinPos'!F34))</f>
        <v>7.75</v>
      </c>
      <c r="G15" s="365">
        <f>IF(ISERROR(('A6-FinPos'!G6+'A6-FinPos'!G7)/'A6-FinPos'!G34),0,(('A6-FinPos'!G6+'A6-FinPos'!G7)/'A6-FinPos'!G34))</f>
        <v>7.75</v>
      </c>
      <c r="H15" s="366">
        <f>IF(ISERROR(('A6-FinPos'!H6+'A6-FinPos'!H7)/'A6-FinPos'!H34),0,(('A6-FinPos'!H6+'A6-FinPos'!H7)/'A6-FinPos'!H34))</f>
        <v>7.75</v>
      </c>
      <c r="I15" s="368">
        <f>IF(ISERROR(('A6-FinPos'!I6+'A6-FinPos'!I7)/'A6-FinPos'!I34),0,(('A6-FinPos'!I6+'A6-FinPos'!I7)/'A6-FinPos'!I34))</f>
        <v>7.75</v>
      </c>
      <c r="J15" s="364">
        <f>IF(ISERROR(('A6-FinPos'!J6+'A6-FinPos'!J7)/'A6-FinPos'!J34),0,(('A6-FinPos'!J6+'A6-FinPos'!J7)/'A6-FinPos'!J34))</f>
        <v>7.75</v>
      </c>
      <c r="K15" s="365">
        <f>IF(ISERROR(('A6-FinPos'!K6+'A6-FinPos'!K7)/'A6-FinPos'!K34),0,(('A6-FinPos'!K6+'A6-FinPos'!K7)/'A6-FinPos'!K34))</f>
        <v>7.75</v>
      </c>
      <c r="L15" s="366">
        <f>IF(ISERROR(('A6-FinPos'!L6+'A6-FinPos'!L7)/'A6-FinPos'!L34),0,(('A6-FinPos'!L6+'A6-FinPos'!L7)/'A6-FinPos'!L34))</f>
        <v>7.75</v>
      </c>
    </row>
    <row r="16" spans="1:12" x14ac:dyDescent="0.25">
      <c r="A16" s="358" t="s">
        <v>853</v>
      </c>
      <c r="B16" s="348"/>
      <c r="C16" s="369"/>
      <c r="D16" s="370"/>
      <c r="E16" s="371"/>
      <c r="F16" s="372"/>
      <c r="G16" s="370"/>
      <c r="H16" s="371"/>
      <c r="I16" s="373"/>
      <c r="J16" s="369"/>
      <c r="K16" s="370"/>
      <c r="L16" s="371"/>
    </row>
    <row r="17" spans="1:13" ht="25.5" x14ac:dyDescent="0.25">
      <c r="A17" s="354" t="s">
        <v>854</v>
      </c>
      <c r="B17" s="348" t="s">
        <v>1338</v>
      </c>
      <c r="C17" s="374"/>
      <c r="D17" s="375">
        <f>IF(ISERROR(('A7-CFlow'!C6+'A7-CFlow'!C7+'A7-CFlow'!C22+'A7-CFlow'!C23)/SUM('A4-FinPerf RE'!C5:C11)),0,('A7-CFlow'!C6+'A7-CFlow'!C7+'A7-CFlow'!C22+'A7-CFlow'!C23)/(SUM('A4-FinPerf RE'!C5:C11)))</f>
        <v>1.0297492995183679</v>
      </c>
      <c r="E17" s="375">
        <f>IF(ISERROR(('A7-CFlow'!D6+'A7-CFlow'!D7+'A7-CFlow'!D22+'A7-CFlow'!D23)/SUM('A4-FinPerf RE'!D5:D11)),0,('A7-CFlow'!D6+'A7-CFlow'!D7+'A7-CFlow'!D22+'A7-CFlow'!D23)/(SUM('A4-FinPerf RE'!D5:D11)))</f>
        <v>0.99883390616697743</v>
      </c>
      <c r="F17" s="377">
        <f>IF(ISERROR(('A7-CFlow'!E6+'A7-CFlow'!E7+'A7-CFlow'!E22+'A7-CFlow'!E23)/SUM('A4-FinPerf RE'!E5:E11)),0,('A7-CFlow'!E6+'A7-CFlow'!E7+'A7-CFlow'!E22+'A7-CFlow'!E23)/(SUM('A4-FinPerf RE'!E5:E11)))</f>
        <v>1</v>
      </c>
      <c r="G17" s="375">
        <f>IF(ISERROR(('A7-CFlow'!F6+'A7-CFlow'!F7+'A7-CFlow'!F22+'A7-CFlow'!F23)/SUM('A4-FinPerf RE'!F5:F11)),0,('A7-CFlow'!F6+'A7-CFlow'!F7+'A7-CFlow'!F22+'A7-CFlow'!F23)/(SUM('A4-FinPerf RE'!F5:F11)))</f>
        <v>0.95621422930726985</v>
      </c>
      <c r="H17" s="376">
        <f>IF(ISERROR(('A7-CFlow'!G6+'A7-CFlow'!G7+'A7-CFlow'!G22+'A7-CFlow'!G23)/SUM('A4-FinPerf RE'!G5:G11)),0,('A7-CFlow'!G6+'A7-CFlow'!G7+'A7-CFlow'!G22+'A7-CFlow'!G23)/(SUM('A4-FinPerf RE'!G5:G11)))</f>
        <v>0.95224948748058458</v>
      </c>
      <c r="I17" s="378">
        <f>IF(ISERROR(('A7-CFlow'!H6+'A7-CFlow'!H7+'A7-CFlow'!H22+'A7-CFlow'!H23)/SUM('A4-FinPerf RE'!H5:H11)),0,('A7-CFlow'!H6+'A7-CFlow'!H7+'A7-CFlow'!H22+'A7-CFlow'!H23)/(SUM('A4-FinPerf RE'!H5:H11)))</f>
        <v>1</v>
      </c>
      <c r="J17" s="374">
        <f>IF(ISERROR(('A7-CFlow'!I6+'A7-CFlow'!I7+'A7-CFlow'!I22+'A7-CFlow'!I23)/SUM('A4-FinPerf RE'!I5:I11)),0,('A7-CFlow'!I6+'A7-CFlow'!I7+'A7-CFlow'!I22+'A7-CFlow'!I23)/(SUM('A4-FinPerf RE'!I5:I11)))</f>
        <v>1</v>
      </c>
      <c r="K17" s="375">
        <f>IF(ISERROR(('A7-CFlow'!J6+'A7-CFlow'!J7+'A7-CFlow'!J22+'A7-CFlow'!J23)/SUM('A4-FinPerf RE'!J5:J11)),0,('A7-CFlow'!J6+'A7-CFlow'!J7+'A7-CFlow'!J22+'A7-CFlow'!J23)/(SUM('A4-FinPerf RE'!J5:J11)))</f>
        <v>1</v>
      </c>
      <c r="L17" s="376">
        <f>IF(ISERROR(('A7-CFlow'!K6+'A7-CFlow'!K7+'A7-CFlow'!K22+'A7-CFlow'!K23)/SUM('A4-FinPerf RE'!K5:K11)),0,('A7-CFlow'!K6+'A7-CFlow'!K7+'A7-CFlow'!K22+'A7-CFlow'!K23)/(SUM('A4-FinPerf RE'!K5:K11)))</f>
        <v>0.99999999999999989</v>
      </c>
    </row>
    <row r="18" spans="1:13" ht="25.5" customHeight="1" x14ac:dyDescent="0.25">
      <c r="A18" s="354" t="s">
        <v>2140</v>
      </c>
      <c r="B18" s="348"/>
      <c r="C18" s="374">
        <f>IF(ISERROR(('A7-CFlow'!C6+'A7-CFlow'!C7)/SUM('A4-FinPerf RE'!C5:C11)),0,(('A7-CFlow'!C6+'A7-CFlow'!C7)/SUM('A4-FinPerf RE'!C5:C11)))</f>
        <v>1.0370474288868141</v>
      </c>
      <c r="D18" s="375">
        <f>IF(ISERROR(('A7-CFlow'!D6+'A7-CFlow'!D7)/SUM('A4-FinPerf RE'!D5:D11)),0,(('A7-CFlow'!D6+'A7-CFlow'!D7)/SUM('A4-FinPerf RE'!D5:D11)))</f>
        <v>1.0000000149645016</v>
      </c>
      <c r="E18" s="378">
        <f>IF(ISERROR(('A7-CFlow'!E6+'A7-CFlow'!E7)/SUM('A4-FinPerf RE'!E5:E11)),0,(('A7-CFlow'!E6+'A7-CFlow'!E7)/SUM('A4-FinPerf RE'!E5:E11)))</f>
        <v>1</v>
      </c>
      <c r="F18" s="377">
        <f>IF(ISERROR(('A7-CFlow'!F6+'A7-CFlow'!F7)/SUM('A4-FinPerf RE'!F5:F11)),0,(('A7-CFlow'!F6+'A7-CFlow'!F7)/SUM('A4-FinPerf RE'!F5:F11)))</f>
        <v>0.95621422930726985</v>
      </c>
      <c r="G18" s="375">
        <f>IF(ISERROR(('A7-CFlow'!G6+'A7-CFlow'!G7)/SUM('A4-FinPerf RE'!G5:G11)),0,(('A7-CFlow'!G6+'A7-CFlow'!G7)/SUM('A4-FinPerf RE'!G5:G11)))</f>
        <v>0.95224948748058458</v>
      </c>
      <c r="H18" s="376">
        <f>IF(ISERROR(('A7-CFlow'!H6+'A7-CFlow'!H7)/SUM('A4-FinPerf RE'!H5:H11)),0,(('A7-CFlow'!H6+'A7-CFlow'!H7)/SUM('A4-FinPerf RE'!H5:H11)))</f>
        <v>1</v>
      </c>
      <c r="I18" s="378">
        <f>IF(ISERROR(('A7-CFlow'!I6+'A7-CFlow'!I7)/SUM('A4-FinPerf RE'!I5:I11)),0,(('A7-CFlow'!I6+'A7-CFlow'!I7)/SUM('A4-FinPerf RE'!I5:I11)))</f>
        <v>1</v>
      </c>
      <c r="J18" s="374">
        <f>IF(ISERROR(('A7-CFlow'!J6+'A7-CFlow'!J7)/SUM('A4-FinPerf RE'!J5:J11)),0,(('A7-CFlow'!J6+'A7-CFlow'!J7)/SUM('A4-FinPerf RE'!J5:J11)))</f>
        <v>1</v>
      </c>
      <c r="K18" s="375">
        <f>IF(ISERROR(('A7-CFlow'!K6+'A7-CFlow'!K7)/SUM('A4-FinPerf RE'!K5:K11)),0,(('A7-CFlow'!K6+'A7-CFlow'!K7)/SUM('A4-FinPerf RE'!K5:K11)))</f>
        <v>0.99999999999999989</v>
      </c>
      <c r="L18" s="376">
        <f>IF(ISERROR(('A7-CFlow'!L6+'A7-CFlow'!L7)/SUM('A4-FinPerf RE'!L5:L11)),0,(('A7-CFlow'!L6+'A7-CFlow'!L7)/SUM('A4-FinPerf RE'!L5:L11)))</f>
        <v>0.99999999999999989</v>
      </c>
    </row>
    <row r="19" spans="1:13" ht="25.5" x14ac:dyDescent="0.25">
      <c r="A19" s="354" t="s">
        <v>466</v>
      </c>
      <c r="B19" s="348" t="s">
        <v>1304</v>
      </c>
      <c r="C19" s="349">
        <f>IF(ISERROR(('A6-FinPos'!C8+'A6-FinPos'!C9+'A6-FinPos'!C10+'A6-FinPos'!C15)/'A4-FinPerf RE'!C22),0,(('A6-FinPos'!C8+'A6-FinPos'!C9+'A6-FinPos'!C10+'A6-FinPos'!C15)/'A4-FinPerf RE'!C22))</f>
        <v>1.7871662765508861E-2</v>
      </c>
      <c r="D19" s="350">
        <f>IF(ISERROR(('A6-FinPos'!D8+'A6-FinPos'!D9+'A6-FinPos'!D10+'A6-FinPos'!D15)/'A4-FinPerf RE'!D22),0,(('A6-FinPos'!D8+'A6-FinPos'!D9+'A6-FinPos'!D10+'A6-FinPos'!D15)/'A4-FinPerf RE'!D22))</f>
        <v>0.12090798495227986</v>
      </c>
      <c r="E19" s="351">
        <f>IF(ISERROR(('A6-FinPos'!E8+'A6-FinPos'!E9+'A6-FinPos'!E10+'A6-FinPos'!E15)/'A4-FinPerf RE'!E22),0,(('A6-FinPos'!E8+'A6-FinPos'!E9+'A6-FinPos'!E10+'A6-FinPos'!E15)/'A4-FinPerf RE'!E22))</f>
        <v>0.12701305637739285</v>
      </c>
      <c r="F19" s="352">
        <f>IF(ISERROR(('A6-FinPos'!F8+'A6-FinPos'!F9+'A6-FinPos'!F10+'A6-FinPos'!F15)/'A4-FinPerf RE'!F22),0,(('A6-FinPos'!F8+'A6-FinPos'!F9+'A6-FinPos'!F10+'A6-FinPos'!F15)/'A4-FinPerf RE'!F22))</f>
        <v>1.3347015466245242E-2</v>
      </c>
      <c r="G19" s="350">
        <f>IF(ISERROR(('A6-FinPos'!G8+'A6-FinPos'!G9+'A6-FinPos'!G10+'A6-FinPos'!G15)/'A4-FinPerf RE'!G22),0,(('A6-FinPos'!G8+'A6-FinPos'!G9+'A6-FinPos'!G10+'A6-FinPos'!G15)/'A4-FinPerf RE'!G22))</f>
        <v>1.3409320699743625E-2</v>
      </c>
      <c r="H19" s="351">
        <f>IF(ISERROR(('A6-FinPos'!H8+'A6-FinPos'!H9+'A6-FinPos'!H10+'A6-FinPos'!H15)/'A4-FinPerf RE'!H22),0,(('A6-FinPos'!H8+'A6-FinPos'!H9+'A6-FinPos'!H10+'A6-FinPos'!H15)/'A4-FinPerf RE'!H22))</f>
        <v>1.3409320699743625E-2</v>
      </c>
      <c r="I19" s="353">
        <f>IF(ISERROR(('A6-FinPos'!I8+'A6-FinPos'!I9+'A6-FinPos'!I10+'A6-FinPos'!I15)/'A4-FinPerf RE'!I22),0,(('A6-FinPos'!I8+'A6-FinPos'!I9+'A6-FinPos'!I10+'A6-FinPos'!I15)/'A4-FinPerf RE'!I22))</f>
        <v>1.3409320699743625E-2</v>
      </c>
      <c r="J19" s="349">
        <f>IF(ISERROR(('A6-FinPos'!J8+'A6-FinPos'!J9+'A6-FinPos'!J10+'A6-FinPos'!J15)/'A4-FinPerf RE'!J22),0,(('A6-FinPos'!J8+'A6-FinPos'!J9+'A6-FinPos'!J10+'A6-FinPos'!J15)/'A4-FinPerf RE'!J22))</f>
        <v>1.3834997575388254E-2</v>
      </c>
      <c r="K19" s="350">
        <f>IF(ISERROR(('A6-FinPos'!K8+'A6-FinPos'!K9+'A6-FinPos'!K10+'A6-FinPos'!K15)/'A4-FinPerf RE'!K22),0,(('A6-FinPos'!K8+'A6-FinPos'!K9+'A6-FinPos'!K10+'A6-FinPos'!K15)/'A4-FinPerf RE'!K22))</f>
        <v>1.3762718760503825E-2</v>
      </c>
      <c r="L19" s="351">
        <f>IF(ISERROR(('A6-FinPos'!L8+'A6-FinPos'!L9+'A6-FinPos'!L10+'A6-FinPos'!L15)/'A4-FinPerf RE'!L22),0,(('A6-FinPos'!L8+'A6-FinPos'!L9+'A6-FinPos'!L10+'A6-FinPos'!L15)/'A4-FinPerf RE'!L22))</f>
        <v>1.3769197663498906E-2</v>
      </c>
    </row>
    <row r="20" spans="1:13" ht="25.5" x14ac:dyDescent="0.25">
      <c r="A20" s="354" t="s">
        <v>1630</v>
      </c>
      <c r="B20" s="348" t="s">
        <v>538</v>
      </c>
      <c r="C20" s="2246"/>
      <c r="D20" s="2247"/>
      <c r="E20" s="2183"/>
      <c r="F20" s="2248"/>
      <c r="G20" s="2247"/>
      <c r="H20" s="2183"/>
      <c r="I20" s="2249"/>
      <c r="J20" s="2246"/>
      <c r="K20" s="2247"/>
      <c r="L20" s="2183"/>
    </row>
    <row r="21" spans="1:13" x14ac:dyDescent="0.25">
      <c r="A21" s="358" t="s">
        <v>744</v>
      </c>
      <c r="B21" s="348"/>
      <c r="C21" s="359"/>
      <c r="D21" s="360"/>
      <c r="E21" s="361"/>
      <c r="F21" s="362"/>
      <c r="G21" s="360"/>
      <c r="H21" s="361"/>
      <c r="I21" s="363"/>
      <c r="J21" s="359"/>
      <c r="K21" s="360"/>
      <c r="L21" s="361"/>
    </row>
    <row r="22" spans="1:13" ht="24.75" customHeight="1" x14ac:dyDescent="0.25">
      <c r="A22" s="354" t="s">
        <v>745</v>
      </c>
      <c r="B22" s="348" t="s">
        <v>322</v>
      </c>
      <c r="C22" s="2246"/>
      <c r="D22" s="2247"/>
      <c r="E22" s="2183"/>
      <c r="F22" s="2248"/>
      <c r="G22" s="2247"/>
      <c r="H22" s="2183"/>
      <c r="I22" s="2249"/>
      <c r="J22" s="2246"/>
      <c r="K22" s="2247"/>
      <c r="L22" s="2183"/>
    </row>
    <row r="23" spans="1:13" x14ac:dyDescent="0.25">
      <c r="A23" s="354" t="s">
        <v>2112</v>
      </c>
      <c r="B23" s="348"/>
      <c r="C23" s="374">
        <f>IF(ISERROR('SA3'!C35/'A7-CFlow'!C40), 0, ('SA3'!C35/'A7-CFlow'!C40))</f>
        <v>0</v>
      </c>
      <c r="D23" s="375">
        <f>IF(ISERROR('SA3'!D35/'A7-CFlow'!D40), 0, ('SA3'!D35/'A7-CFlow'!D40))</f>
        <v>0.40989738771445527</v>
      </c>
      <c r="E23" s="376">
        <f>IF(ISERROR('SA3'!E35/'A7-CFlow'!E40), 0, ('SA3'!E35/'A7-CFlow'!E40))</f>
        <v>0.20369045608290756</v>
      </c>
      <c r="F23" s="377">
        <f>IF(ISERROR('SA3'!F35/'A7-CFlow'!F40), 0, ('SA3'!F35/'A7-CFlow'!F40))</f>
        <v>5.2614837729840373E-2</v>
      </c>
      <c r="G23" s="375">
        <f>IF(ISERROR('SA3'!G35/'A7-CFlow'!G40), 0, ('SA3'!G35/'A7-CFlow'!G40))</f>
        <v>4.729623923808262E-2</v>
      </c>
      <c r="H23" s="376">
        <f>IF(ISERROR('SA3'!H35/'A7-CFlow'!H40), 0, ('SA3'!H35/'A7-CFlow'!H40))</f>
        <v>4.7296239238082606E-2</v>
      </c>
      <c r="I23" s="378">
        <f>IF(ISERROR('SA3'!I35/'A7-CFlow'!I40), 0, ('SA3'!I35/'A7-CFlow'!I40))</f>
        <v>4.7296239238082606E-2</v>
      </c>
      <c r="J23" s="374">
        <f>IF(ISERROR('SA3'!J35/'A7-CFlow'!J40), 0, ('SA3'!J35/'A7-CFlow'!J40))</f>
        <v>-90136018.107683271</v>
      </c>
      <c r="K23" s="375">
        <f>IF(ISERROR('SA3'!K35/'A7-CFlow'!K40), 0, ('SA3'!K35/'A7-CFlow'!K40))</f>
        <v>1.2524034364998287</v>
      </c>
      <c r="L23" s="376">
        <f>IF(ISERROR('SA3'!L35/'A7-CFlow'!L40), 0, ('SA3'!L35/'A7-CFlow'!L40))</f>
        <v>0.69030723093327806</v>
      </c>
      <c r="M23" s="247"/>
    </row>
    <row r="24" spans="1:13" ht="8.25" customHeight="1" x14ac:dyDescent="0.25">
      <c r="A24" s="354"/>
      <c r="B24" s="348"/>
      <c r="C24" s="2250"/>
      <c r="D24" s="2251"/>
      <c r="E24" s="2252"/>
      <c r="F24" s="2253"/>
      <c r="G24" s="2251"/>
      <c r="H24" s="2252"/>
      <c r="I24" s="2254"/>
      <c r="J24" s="2250"/>
      <c r="K24" s="2251"/>
      <c r="L24" s="2252"/>
      <c r="M24" s="247"/>
    </row>
    <row r="25" spans="1:13" x14ac:dyDescent="0.25">
      <c r="A25" s="358" t="s">
        <v>746</v>
      </c>
      <c r="B25" s="348"/>
      <c r="C25" s="359"/>
      <c r="D25" s="360"/>
      <c r="E25" s="361"/>
      <c r="F25" s="362"/>
      <c r="G25" s="360"/>
      <c r="H25" s="361"/>
      <c r="I25" s="363"/>
      <c r="J25" s="359"/>
      <c r="K25" s="360"/>
      <c r="L25" s="361"/>
      <c r="M25" s="247"/>
    </row>
    <row r="26" spans="1:13" ht="21" customHeight="1" x14ac:dyDescent="0.25">
      <c r="A26" s="2695" t="s">
        <v>325</v>
      </c>
      <c r="B26" s="1207" t="s">
        <v>2168</v>
      </c>
      <c r="C26" s="2255"/>
      <c r="D26" s="2256"/>
      <c r="E26" s="2257"/>
      <c r="F26" s="2258"/>
      <c r="G26" s="2256"/>
      <c r="H26" s="2257"/>
      <c r="I26" s="2257"/>
      <c r="J26" s="2259"/>
      <c r="K26" s="2256"/>
      <c r="L26" s="2257"/>
    </row>
    <row r="27" spans="1:13" ht="21" customHeight="1" x14ac:dyDescent="0.25">
      <c r="A27" s="2695"/>
      <c r="B27" s="1207" t="s">
        <v>2167</v>
      </c>
      <c r="C27" s="1454"/>
      <c r="D27" s="1454"/>
      <c r="E27" s="1456"/>
      <c r="F27" s="2260"/>
      <c r="G27" s="1454"/>
      <c r="H27" s="1456"/>
      <c r="I27" s="2103"/>
      <c r="J27" s="2260"/>
      <c r="K27" s="1454"/>
      <c r="L27" s="1456"/>
    </row>
    <row r="28" spans="1:13" ht="41.25" customHeight="1" x14ac:dyDescent="0.25">
      <c r="A28" s="2696"/>
      <c r="B28" s="2014" t="s">
        <v>2177</v>
      </c>
      <c r="C28" s="2260"/>
      <c r="D28" s="1454"/>
      <c r="E28" s="2103"/>
      <c r="F28" s="1455"/>
      <c r="G28" s="1454"/>
      <c r="H28" s="2103"/>
      <c r="I28" s="2103"/>
      <c r="J28" s="2260"/>
      <c r="K28" s="1454"/>
      <c r="L28" s="2103"/>
    </row>
    <row r="29" spans="1:13" ht="21" customHeight="1" x14ac:dyDescent="0.25">
      <c r="A29" s="2694" t="s">
        <v>1236</v>
      </c>
      <c r="B29" s="2015" t="s">
        <v>2169</v>
      </c>
      <c r="C29" s="2260"/>
      <c r="D29" s="1454"/>
      <c r="E29" s="2103"/>
      <c r="F29" s="1455"/>
      <c r="G29" s="1454"/>
      <c r="H29" s="2103"/>
      <c r="I29" s="2103"/>
      <c r="J29" s="2260"/>
      <c r="K29" s="1454"/>
      <c r="L29" s="2103"/>
    </row>
    <row r="30" spans="1:13" ht="21" customHeight="1" x14ac:dyDescent="0.25">
      <c r="A30" s="2695"/>
      <c r="B30" s="1207" t="s">
        <v>2167</v>
      </c>
      <c r="C30" s="2255"/>
      <c r="D30" s="2256"/>
      <c r="E30" s="2257"/>
      <c r="F30" s="2258"/>
      <c r="G30" s="2256"/>
      <c r="H30" s="2257"/>
      <c r="I30" s="2257"/>
      <c r="J30" s="2259"/>
      <c r="K30" s="2256"/>
      <c r="L30" s="2257"/>
    </row>
    <row r="31" spans="1:13" ht="41.25" customHeight="1" x14ac:dyDescent="0.25">
      <c r="A31" s="2696"/>
      <c r="B31" s="2014" t="s">
        <v>2177</v>
      </c>
      <c r="C31" s="1454"/>
      <c r="D31" s="1454"/>
      <c r="E31" s="1456"/>
      <c r="F31" s="2260"/>
      <c r="G31" s="1454"/>
      <c r="H31" s="1456"/>
      <c r="I31" s="2103"/>
      <c r="J31" s="2260"/>
      <c r="K31" s="1454"/>
      <c r="L31" s="1456"/>
    </row>
    <row r="32" spans="1:13" ht="25.5" x14ac:dyDescent="0.25">
      <c r="A32" s="354" t="s">
        <v>469</v>
      </c>
      <c r="B32" s="348" t="s">
        <v>1585</v>
      </c>
      <c r="C32" s="374">
        <f>IF(ISERROR('A4-FinPerf RE'!C25/'A4-FinPerf RE'!C22),0,('A4-FinPerf RE'!C25/'A4-FinPerf RE'!C22))</f>
        <v>0.27541704474232909</v>
      </c>
      <c r="D32" s="375">
        <f>IF(ISERROR('A4-FinPerf RE'!D25/'A4-FinPerf RE'!D22),0,('A4-FinPerf RE'!D25/'A4-FinPerf RE'!D22))</f>
        <v>0.30282437423727215</v>
      </c>
      <c r="E32" s="376">
        <f>IF(ISERROR('A4-FinPerf RE'!E25/'A4-FinPerf RE'!E22),0,('A4-FinPerf RE'!E25/'A4-FinPerf RE'!E22))</f>
        <v>0.28400376693330748</v>
      </c>
      <c r="F32" s="377">
        <f>IF(ISERROR('A4-FinPerf RE'!F25/'A4-FinPerf RE'!F22),0,('A4-FinPerf RE'!F25/'A4-FinPerf RE'!F22))</f>
        <v>0.2924867380633776</v>
      </c>
      <c r="G32" s="375">
        <f>IF(ISERROR('A4-FinPerf RE'!G25/'A4-FinPerf RE'!G22),0,('A4-FinPerf RE'!G25/'A4-FinPerf RE'!G22))</f>
        <v>0.2781841587884985</v>
      </c>
      <c r="H32" s="376">
        <f>IF(ISERROR('A4-FinPerf RE'!H25/'A4-FinPerf RE'!H22),0,('A4-FinPerf RE'!H25/'A4-FinPerf RE'!H22))</f>
        <v>0.2781841587884985</v>
      </c>
      <c r="I32" s="378">
        <f>IF(ISERROR('A4-FinPerf RE'!I25/'A4-FinPerf RE'!I22),0,('A4-FinPerf RE'!I25/'A4-FinPerf RE'!I22))</f>
        <v>0.2781841587884985</v>
      </c>
      <c r="J32" s="374">
        <f>IF(ISERROR('A4-FinPerf RE'!J25/'A4-FinPerf RE'!J22),0,('A4-FinPerf RE'!J25/'A4-FinPerf RE'!J22))</f>
        <v>0.30763183369528541</v>
      </c>
      <c r="K32" s="375">
        <f>IF(ISERROR('A4-FinPerf RE'!K25/'A4-FinPerf RE'!K22),0,('A4-FinPerf RE'!K25/'A4-FinPerf RE'!K22))</f>
        <v>0.30602465854445021</v>
      </c>
      <c r="L32" s="376">
        <f>IF(ISERROR('A4-FinPerf RE'!L25/'A4-FinPerf RE'!L22),0,('A4-FinPerf RE'!L25/'A4-FinPerf RE'!L22))</f>
        <v>0.30616872193734768</v>
      </c>
    </row>
    <row r="33" spans="1:13" ht="25.5" x14ac:dyDescent="0.25">
      <c r="A33" s="354" t="s">
        <v>683</v>
      </c>
      <c r="B33" s="348" t="s">
        <v>684</v>
      </c>
      <c r="C33" s="374">
        <f>IF(ISERROR('SA22'!C102/'A4-FinPerf RE'!C22),0,('SA22'!C102/'A4-FinPerf RE'!C22))</f>
        <v>0</v>
      </c>
      <c r="D33" s="375">
        <f>IF(ISERROR('SA22'!D102/'A4-FinPerf RE'!D22),0,('SA22'!D102/'A4-FinPerf RE'!D22))</f>
        <v>0.36357184017306454</v>
      </c>
      <c r="E33" s="376">
        <f>IF(ISERROR('SA22'!E102/'A4-FinPerf RE'!E22),0,('SA22'!E102/'A4-FinPerf RE'!E22))</f>
        <v>0.33927309143294332</v>
      </c>
      <c r="F33" s="377">
        <f>IF(ISERROR('SA22'!F102/'A4-FinPerf RE'!F22),0,('SA22'!F102/'A4-FinPerf RE'!F22))</f>
        <v>0.34143900756192425</v>
      </c>
      <c r="G33" s="375">
        <f>IF(ISERROR('SA22'!G102/'A4-FinPerf RE'!G22),0,('SA22'!G102/'A4-FinPerf RE'!G22))</f>
        <v>0.32736494252034792</v>
      </c>
      <c r="H33" s="376">
        <f>IF(ISERROR('SA22'!H102/'A4-FinPerf RE'!H22),0,('SA22'!H102/'A4-FinPerf RE'!H22))</f>
        <v>0.32736494252034792</v>
      </c>
      <c r="I33" s="378"/>
      <c r="J33" s="374">
        <f>IF(ISERROR('SA22'!I102/'A4-FinPerf RE'!J22),0,('SA22'!I102/'A4-FinPerf RE'!J22))</f>
        <v>0.3583738540024598</v>
      </c>
      <c r="K33" s="375">
        <f>IF(ISERROR('SA22'!J102/'A4-FinPerf RE'!K22),0,('SA22'!J102/'A4-FinPerf RE'!K22))</f>
        <v>0.35650158497993473</v>
      </c>
      <c r="L33" s="376">
        <f>IF(ISERROR('SA22'!K102/'A4-FinPerf RE'!L22),0,('SA22'!K102/'A4-FinPerf RE'!L22))</f>
        <v>0.35666941076382519</v>
      </c>
    </row>
    <row r="34" spans="1:13" ht="25.5" x14ac:dyDescent="0.25">
      <c r="A34" s="354" t="s">
        <v>573</v>
      </c>
      <c r="B34" s="348" t="s">
        <v>574</v>
      </c>
      <c r="C34" s="375">
        <f>IF(ISERROR('A9-Asset'!C69/'A4-FinPerf RE'!C22),0,('A9-Asset'!C69/'A4-FinPerf RE'!C22))</f>
        <v>6.4320193853181093E-2</v>
      </c>
      <c r="D34" s="375">
        <f>IF(ISERROR('A9-Asset'!D69/'A4-FinPerf RE'!D22),0,('A9-Asset'!D69/'A4-FinPerf RE'!D22))</f>
        <v>5.6443971443173362E-2</v>
      </c>
      <c r="E34" s="376">
        <f>IF(ISERROR('A9-Asset'!E69/'A4-FinPerf RE'!E22),0,('A9-Asset'!E69/'A4-FinPerf RE'!E22))</f>
        <v>4.2075017655429307E-2</v>
      </c>
      <c r="F34" s="377">
        <f>IF(ISERROR('A9-Asset'!F69/'A4-FinPerf RE'!F22),0,('A9-Asset'!F69/'A4-FinPerf RE'!F22))</f>
        <v>6.0265388623514854E-2</v>
      </c>
      <c r="G34" s="375">
        <f>IF(ISERROR('A9-Asset'!G69/'A4-FinPerf RE'!G22),0,('A9-Asset'!G69/'A4-FinPerf RE'!G22))</f>
        <v>5.6898171284937737E-2</v>
      </c>
      <c r="H34" s="376">
        <f>IF(ISERROR('A9-Asset'!H69/'A4-FinPerf RE'!H22),0,('A9-Asset'!H69/'A4-FinPerf RE'!H22))</f>
        <v>5.6898171284937737E-2</v>
      </c>
      <c r="I34" s="378"/>
      <c r="J34" s="374">
        <f>IF(ISERROR('A9-Asset'!I69/'A4-FinPerf RE'!J22),0,('A9-Asset'!I69/'A4-FinPerf RE'!J22))</f>
        <v>5.696470111001093E-2</v>
      </c>
      <c r="K34" s="375">
        <f>IF(ISERROR('A9-Asset'!J69/'A4-FinPerf RE'!K22),0,('A9-Asset'!J69/'A4-FinPerf RE'!K22))</f>
        <v>5.6667097845529903E-2</v>
      </c>
      <c r="L34" s="1621">
        <f>IF(ISERROR('A9-Asset'!K69/'A4-FinPerf RE'!L22),0,('A9-Asset'!K69/'A4-FinPerf RE'!L22))</f>
        <v>5.6693774254868413E-2</v>
      </c>
    </row>
    <row r="35" spans="1:13" ht="25.5" x14ac:dyDescent="0.25">
      <c r="A35" s="354" t="s">
        <v>1383</v>
      </c>
      <c r="B35" s="348" t="s">
        <v>575</v>
      </c>
      <c r="C35" s="374">
        <f>IF(ISERROR(('A4-FinPerf RE'!C29+'A4-FinPerf RE'!C28)/'A4-FinPerf RE'!C22),0,(('A4-FinPerf RE'!C29+'A4-FinPerf RE'!C28)/'A4-FinPerf RE'!C22))</f>
        <v>0.24954847230344834</v>
      </c>
      <c r="D35" s="375">
        <f>IF(ISERROR(('A4-FinPerf RE'!D29+'A4-FinPerf RE'!D28)/'A4-FinPerf RE'!D22),0,(('A4-FinPerf RE'!D29+'A4-FinPerf RE'!D28)/'A4-FinPerf RE'!D22))</f>
        <v>0.24220795238954865</v>
      </c>
      <c r="E35" s="376">
        <f>IF(ISERROR(('A4-FinPerf RE'!E29+'A4-FinPerf RE'!E28)/'A4-FinPerf RE'!E22),0,(('A4-FinPerf RE'!E29+'A4-FinPerf RE'!E28)/'A4-FinPerf RE'!E22))</f>
        <v>0.22850375672205028</v>
      </c>
      <c r="F35" s="377">
        <f>IF(ISERROR(('A4-FinPerf RE'!F29+'A4-FinPerf RE'!F28)/'A4-FinPerf RE'!F22),0,(('A4-FinPerf RE'!F29+'A4-FinPerf RE'!F28)/'A4-FinPerf RE'!F22))</f>
        <v>0.19198708305865775</v>
      </c>
      <c r="G35" s="375">
        <f>IF(ISERROR(('A4-FinPerf RE'!G29+'A4-FinPerf RE'!G28)/'A4-FinPerf RE'!G22),0,(('A4-FinPerf RE'!G29+'A4-FinPerf RE'!G28)/'A4-FinPerf RE'!G22))</f>
        <v>0.19288329840124835</v>
      </c>
      <c r="H35" s="376">
        <f>IF(ISERROR(('A4-FinPerf RE'!H29+'A4-FinPerf RE'!H28)/'A4-FinPerf RE'!H22),0,(('A4-FinPerf RE'!H29+'A4-FinPerf RE'!H28)/'A4-FinPerf RE'!H22))</f>
        <v>0.19288329840124835</v>
      </c>
      <c r="I35" s="378">
        <f>IF(ISERROR(('A4-FinPerf RE'!I29+'A4-FinPerf RE'!I28)/'A4-FinPerf RE'!I22),0,(('A4-FinPerf RE'!I29+'A4-FinPerf RE'!I28)/'A4-FinPerf RE'!I22))</f>
        <v>0.19288329840124835</v>
      </c>
      <c r="J35" s="374">
        <f>IF(ISERROR(('A4-FinPerf RE'!J29+'A4-FinPerf RE'!J28)/'A4-FinPerf RE'!J22),0,(('A4-FinPerf RE'!J29+'A4-FinPerf RE'!J28)/'A4-FinPerf RE'!J22))</f>
        <v>0.19900634979706172</v>
      </c>
      <c r="K35" s="375">
        <f>IF(ISERROR(('A4-FinPerf RE'!K29+'A4-FinPerf RE'!K28)/'A4-FinPerf RE'!K22),0,(('A4-FinPerf RE'!K29+'A4-FinPerf RE'!K28)/'A4-FinPerf RE'!K22))</f>
        <v>0.1979666717602982</v>
      </c>
      <c r="L35" s="376">
        <f>IF(ISERROR(('A4-FinPerf RE'!L29+'A4-FinPerf RE'!L28)/'A4-FinPerf RE'!L22),0,(('A4-FinPerf RE'!L29+'A4-FinPerf RE'!L28)/'A4-FinPerf RE'!L22))</f>
        <v>0.19805986605460249</v>
      </c>
    </row>
    <row r="36" spans="1:13" ht="25.5" x14ac:dyDescent="0.25">
      <c r="A36" s="379" t="s">
        <v>1568</v>
      </c>
      <c r="B36" s="380"/>
      <c r="C36" s="381"/>
      <c r="D36" s="382"/>
      <c r="E36" s="383"/>
      <c r="F36" s="384"/>
      <c r="G36" s="382"/>
      <c r="H36" s="383"/>
      <c r="I36" s="385"/>
      <c r="J36" s="381"/>
      <c r="K36" s="382"/>
      <c r="L36" s="383"/>
    </row>
    <row r="37" spans="1:13" ht="38.25" x14ac:dyDescent="0.25">
      <c r="A37" s="354" t="s">
        <v>1569</v>
      </c>
      <c r="B37" s="348" t="s">
        <v>1631</v>
      </c>
      <c r="C37" s="364">
        <f>IF(ISERROR(('A4-FinPerf RE'!C22-'A4-FinPerf RE'!C19)/('A7-CFlow'!D11-'A7-CFlow'!D35)),0,(('A4-FinPerf RE'!C22-'A4-FinPerf RE'!C19)/('A7-CFlow'!D11-'A7-CFlow'!D35)))</f>
        <v>14.173587040337866</v>
      </c>
      <c r="D37" s="365">
        <f>IF(ISERROR(('A4-FinPerf RE'!D22-'A4-FinPerf RE'!D19)/('A7-CFlow'!E11-'A7-CFlow'!E35)),0,(('A4-FinPerf RE'!D22-'A4-FinPerf RE'!D19)/('A7-CFlow'!E11-'A7-CFlow'!E35)))</f>
        <v>23.859973795592705</v>
      </c>
      <c r="E37" s="366">
        <f>IF(ISERROR(('A4-FinPerf RE'!E22-'A4-FinPerf RE'!E19)/('A7-CFlow'!F11-'A7-CFlow'!F35)),0,(('A4-FinPerf RE'!E22-'A4-FinPerf RE'!E19)/('A7-CFlow'!F11-'A7-CFlow'!F35)))</f>
        <v>12.322682471641579</v>
      </c>
      <c r="F37" s="367">
        <f>IF(ISERROR(('A4-FinPerf RE'!F22-'A4-FinPerf RE'!F19)/('A7-CFlow'!G11-'A7-CFlow'!G35)),0,(('A4-FinPerf RE'!F22-'A4-FinPerf RE'!F19)/('A7-CFlow'!G11-'A7-CFlow'!G35)))</f>
        <v>13.659445968043467</v>
      </c>
      <c r="G37" s="365">
        <f>F37</f>
        <v>13.659445968043467</v>
      </c>
      <c r="H37" s="366">
        <f>G37</f>
        <v>13.659445968043467</v>
      </c>
      <c r="I37" s="368">
        <f>IF(ISERROR(('A4-FinPerf RE'!I22-'A4-FinPerf RE'!I19)/('A7-CFlow'!J11-'A7-CFlow'!J35)),0,(('A4-FinPerf RE'!I22-'A4-FinPerf RE'!I19)/('A7-CFlow'!J11-'A7-CFlow'!J35)))</f>
        <v>18.500832602759751</v>
      </c>
      <c r="J37" s="364">
        <f>IF(ISERROR(('A4-FinPerf RE'!J22-'A4-FinPerf RE'!J19)/('A7-CFlow'!K11-'A7-CFlow'!K35)),0,(('A4-FinPerf RE'!J22-'A4-FinPerf RE'!J19)/('A7-CFlow'!K11-'A7-CFlow'!K35)))</f>
        <v>18.668776939122875</v>
      </c>
      <c r="K37" s="365">
        <f>IF(ISERROR(('A4-FinPerf RE'!K22-'A4-FinPerf RE'!K19)/('A7-CFlow'!L11-'A7-CFlow'!L35)),0,(('A4-FinPerf RE'!K22-'A4-FinPerf RE'!K19)/('A7-CFlow'!L11-'A7-CFlow'!L35)))</f>
        <v>18.668776953702462</v>
      </c>
      <c r="L37" s="366">
        <f>IF(ISERROR(('A4-FinPerf RE'!L22-'A4-FinPerf RE'!L19)/('A7-CFlow'!L11-'A7-CFlow'!L35)),0,(('A4-FinPerf RE'!L22-'A4-FinPerf RE'!L19)/('A7-CFlow'!L11-'A7-CFlow'!L35)))</f>
        <v>19.788903642426277</v>
      </c>
    </row>
    <row r="38" spans="1:13" ht="25.5" x14ac:dyDescent="0.25">
      <c r="A38" s="354" t="s">
        <v>1570</v>
      </c>
      <c r="B38" s="348" t="s">
        <v>701</v>
      </c>
      <c r="C38" s="374">
        <f>IF(ISERROR(('A6-FinPos'!C8+'A6-FinPos'!C9+'A6-FinPos'!C10)/SUM('A4-FinPerf RE'!C5:C12)),0,(('A6-FinPos'!C8+'A6-FinPos'!C9+'A6-FinPos'!C10)/SUM('A4-FinPerf RE'!C5:C12)))</f>
        <v>5.3118961242750437E-2</v>
      </c>
      <c r="D38" s="375">
        <f>IF(ISERROR(('A6-FinPos'!D8+'A6-FinPos'!D9+'A6-FinPos'!D10)/SUM('A4-FinPerf RE'!D5:D12)),0,(('A6-FinPos'!D8+'A6-FinPos'!D9+'A6-FinPos'!D10)/SUM('A4-FinPerf RE'!D5:D12)))</f>
        <v>0.29357325213203206</v>
      </c>
      <c r="E38" s="376">
        <f>IF(ISERROR(('A6-FinPos'!E8+'A6-FinPos'!E9+'A6-FinPos'!E10)/SUM('A4-FinPerf RE'!E5:E12)),0,(('A6-FinPos'!E8+'A6-FinPos'!E9+'A6-FinPos'!E10)/SUM('A4-FinPerf RE'!E5:E12)))</f>
        <v>0.35658515550397057</v>
      </c>
      <c r="F38" s="377">
        <f>IF(ISERROR(('A6-FinPos'!F8+'A6-FinPos'!F9+'A6-FinPos'!F10)/SUM('A4-FinPerf RE'!F5:F12)),0,(('A6-FinPos'!F8+'A6-FinPos'!F9+'A6-FinPos'!F10)/SUM('A4-FinPerf RE'!F5:F12)))</f>
        <v>3.7104864353353854E-2</v>
      </c>
      <c r="G38" s="375">
        <f>IF(ISERROR(('A6-FinPos'!G8+'A6-FinPos'!G9+'A6-FinPos'!G10)/SUM('A4-FinPerf RE'!G5:G12)),0,(('A6-FinPos'!G8+'A6-FinPos'!G9+'A6-FinPos'!G10)/SUM('A4-FinPerf RE'!G5:G12)))</f>
        <v>3.6951390934339121E-2</v>
      </c>
      <c r="H38" s="376">
        <f>IF(ISERROR(('A6-FinPos'!H8+'A6-FinPos'!H9+'A6-FinPos'!H10)/SUM('A4-FinPerf RE'!H5:H12)),0,(('A6-FinPos'!H8+'A6-FinPos'!H9+'A6-FinPos'!H10)/SUM('A4-FinPerf RE'!H5:H12)))</f>
        <v>3.6951390934339121E-2</v>
      </c>
      <c r="I38" s="378">
        <f>IF(ISERROR(('A6-FinPos'!I8+'A6-FinPos'!I9+'A6-FinPos'!I10)/SUM('A4-FinPerf RE'!I5:I12)),0,(('A6-FinPos'!I8+'A6-FinPos'!I9+'A6-FinPos'!I10)/SUM('A4-FinPerf RE'!I5:I12)))</f>
        <v>3.6951390934339121E-2</v>
      </c>
      <c r="J38" s="374">
        <f>IF(ISERROR(('A6-FinPos'!J8+'A6-FinPos'!J9+'A6-FinPos'!J10)/SUM('A4-FinPerf RE'!J5:J12)),0,(('A6-FinPos'!J8+'A6-FinPos'!J9+'A6-FinPos'!J10)/SUM('A4-FinPerf RE'!J5:J12)))</f>
        <v>3.6424533925492483E-2</v>
      </c>
      <c r="K38" s="375">
        <f>IF(ISERROR(('A6-FinPos'!K8+'A6-FinPos'!K9+'A6-FinPos'!K10)/SUM('A4-FinPerf RE'!K5:K12)),0,(('A6-FinPos'!K8+'A6-FinPos'!K9+'A6-FinPos'!K10)/SUM('A4-FinPerf RE'!K5:K12)))</f>
        <v>3.6424533925492483E-2</v>
      </c>
      <c r="L38" s="376">
        <f>IF(ISERROR(('A6-FinPos'!L8+'A6-FinPos'!L9+'A6-FinPos'!L10)/SUM('A4-FinPerf RE'!L5:L12)),0,(('A6-FinPos'!L8+'A6-FinPos'!L9+'A6-FinPos'!L10)/SUM('A4-FinPerf RE'!L5:L12)))</f>
        <v>3.6424533925492483E-2</v>
      </c>
    </row>
    <row r="39" spans="1:13" ht="25.5" x14ac:dyDescent="0.25">
      <c r="A39" s="386" t="s">
        <v>1571</v>
      </c>
      <c r="B39" s="387" t="s">
        <v>1485</v>
      </c>
      <c r="C39" s="388">
        <f>IF(ISERROR('A7-CFlow'!C40/'SA8'!C46),0,('A7-CFlow'!C40/'SA8'!C46))</f>
        <v>4.4384764737358404</v>
      </c>
      <c r="D39" s="389">
        <f>IF(ISERROR('A7-CFlow'!D40/'SA8'!D46),0,('A7-CFlow'!D40/'SA8'!D46))</f>
        <v>10.178738760143675</v>
      </c>
      <c r="E39" s="390">
        <f>IF(ISERROR('A7-CFlow'!E40/'SA8'!E46),0,('A7-CFlow'!E40/'SA8'!E46))</f>
        <v>18.586188176216524</v>
      </c>
      <c r="F39" s="391">
        <f>IF(ISERROR('A7-CFlow'!F40/'SA8'!F46),0,('A7-CFlow'!F40/'SA8'!F46))</f>
        <v>5.3397340171778653</v>
      </c>
      <c r="G39" s="389">
        <f>IF(ISERROR('A7-CFlow'!G40/'SA8'!G46),0,('A7-CFlow'!G40/'SA8'!G46))</f>
        <v>6.0802730130093376</v>
      </c>
      <c r="H39" s="390">
        <f>IF(ISERROR('A7-CFlow'!H40/'SA8'!H46),0,('A7-CFlow'!H40/'SA8'!H46))</f>
        <v>6.0802730130093394</v>
      </c>
      <c r="I39" s="392">
        <f>IF(ISERROR('A7-CFlow'!I40/'SA8'!I46),0,('A7-CFlow'!I40/'SA8'!I46))</f>
        <v>6.0802730130093394</v>
      </c>
      <c r="J39" s="388">
        <f>IF(ISERROR('A7-CFlow'!J40/'SA8'!J46),0,('A7-CFlow'!J40/'SA8'!J46))</f>
        <v>-3.1433944532063965E-9</v>
      </c>
      <c r="K39" s="389">
        <f>IF(ISERROR('A7-CFlow'!K40/'SA8'!K46),0,('A7-CFlow'!K40/'SA8'!K46))</f>
        <v>0.2270018903346776</v>
      </c>
      <c r="L39" s="390">
        <f>IF(ISERROR('A7-CFlow'!L40/'SA8'!L46),0,('A7-CFlow'!L40/'SA8'!L46))</f>
        <v>0.41112006425080844</v>
      </c>
    </row>
    <row r="40" spans="1:13" x14ac:dyDescent="0.25">
      <c r="A40" s="234" t="str">
        <f>head27a</f>
        <v>References</v>
      </c>
    </row>
    <row r="41" spans="1:13" x14ac:dyDescent="0.25">
      <c r="A41" s="338" t="s">
        <v>1235</v>
      </c>
    </row>
    <row r="42" spans="1:13" x14ac:dyDescent="0.25">
      <c r="A42" s="338" t="s">
        <v>1234</v>
      </c>
    </row>
    <row r="44" spans="1:13" x14ac:dyDescent="0.25">
      <c r="A44" s="341" t="s">
        <v>740</v>
      </c>
    </row>
    <row r="45" spans="1:13" x14ac:dyDescent="0.25">
      <c r="A45" s="27" t="s">
        <v>1381</v>
      </c>
      <c r="C45" s="88"/>
      <c r="D45" s="88"/>
      <c r="E45" s="2108"/>
      <c r="F45" s="2108"/>
      <c r="G45" s="2108"/>
      <c r="H45" s="2108"/>
      <c r="I45" s="2108"/>
      <c r="J45" s="2108"/>
      <c r="K45" s="2108"/>
      <c r="L45" s="2108"/>
      <c r="M45" s="247"/>
    </row>
    <row r="46" spans="1:13" x14ac:dyDescent="0.25">
      <c r="A46" s="27" t="s">
        <v>1386</v>
      </c>
      <c r="C46" s="80">
        <f>(('A4-FinPerf RE'!C25+'A4-FinPerf RE'!C26+'A4-FinPerf RE'!C27+'A4-FinPerf RE'!C29+'A4-FinPerf RE'!C30+'A4-FinPerf RE'!C32+'SA1'!C91+'A7-CFlow'!C35)+(('A4-FinPerf RE'!C31+'A4-FinPerf RE'!C34)*'SA8'!C47))/12</f>
        <v>7306520.1971666664</v>
      </c>
      <c r="D46" s="80">
        <f>(('A4-FinPerf RE'!D25+'A4-FinPerf RE'!D26+'A4-FinPerf RE'!D27+'A4-FinPerf RE'!D29+'A4-FinPerf RE'!D30+'A4-FinPerf RE'!D32+'SA1'!D91+'A7-CFlow'!D35)+(('A4-FinPerf RE'!D31+'A4-FinPerf RE'!D34)*'SA8'!D47))/12</f>
        <v>8953619.416666666</v>
      </c>
      <c r="E46" s="80">
        <f>(('A4-FinPerf RE'!E25+'A4-FinPerf RE'!E26+'A4-FinPerf RE'!E27+'A4-FinPerf RE'!E29+'A4-FinPerf RE'!E30+'A4-FinPerf RE'!E32+'SA1'!E91+'A7-CFlow'!E35)+(('A4-FinPerf RE'!E31+'A4-FinPerf RE'!E34)*'SA8'!E47))/12</f>
        <v>9578648.8499999996</v>
      </c>
      <c r="F46" s="80">
        <f>(('A4-FinPerf RE'!F25+'A4-FinPerf RE'!F26+'A4-FinPerf RE'!F27+'A4-FinPerf RE'!F29+'A4-FinPerf RE'!F30+'A4-FinPerf RE'!F32+'SA1'!F91+'A7-CFlow'!F35)+(('A4-FinPerf RE'!F31+'A4-FinPerf RE'!F34)*'SA8'!F47))/12</f>
        <v>14237447.364500001</v>
      </c>
      <c r="G46" s="80">
        <f>(('A4-FinPerf RE'!G25+'A4-FinPerf RE'!G26+'A4-FinPerf RE'!G27+'A4-FinPerf RE'!G29+'A4-FinPerf RE'!G30+'A4-FinPerf RE'!G32+'SA1'!G91+'A7-CFlow'!G35)+(('A4-FinPerf RE'!G31+'A4-FinPerf RE'!G34)*'SA8'!G47))/12</f>
        <v>13909461.027333334</v>
      </c>
      <c r="H46" s="80">
        <f>(('A4-FinPerf RE'!H25+'A4-FinPerf RE'!H26+'A4-FinPerf RE'!H27+'A4-FinPerf RE'!H29+'A4-FinPerf RE'!H30+'A4-FinPerf RE'!H32+'SA1'!H91+'A7-CFlow'!H35)+(('A4-FinPerf RE'!H31+'A4-FinPerf RE'!H34)*'SA8'!H47))/12</f>
        <v>13909461.027333334</v>
      </c>
      <c r="I46" s="80">
        <f>(('A4-FinPerf RE'!I25+'A4-FinPerf RE'!I26+'A4-FinPerf RE'!I27+'A4-FinPerf RE'!I29+'A4-FinPerf RE'!I30+'A4-FinPerf RE'!I32+'SA1'!I91+'A7-CFlow'!I35)+(('A4-FinPerf RE'!I31+'A4-FinPerf RE'!I34)*'SA8'!I47))/12</f>
        <v>13909461.027333334</v>
      </c>
      <c r="J46" s="80">
        <f>(('A4-FinPerf RE'!J25+'A4-FinPerf RE'!J26+'A4-FinPerf RE'!J27+'A4-FinPerf RE'!J29+'A4-FinPerf RE'!J30+'A4-FinPerf RE'!J32+'SA1'!J91+'A7-CFlow'!J35)+(('A4-FinPerf RE'!J31+'A4-FinPerf RE'!J34)*'SA8'!J47))/12</f>
        <v>14964720.353036666</v>
      </c>
      <c r="K46" s="80">
        <f>(('A4-FinPerf RE'!K25+'A4-FinPerf RE'!K26+'A4-FinPerf RE'!K27+'A4-FinPerf RE'!K29+'A4-FinPerf RE'!K30+'A4-FinPerf RE'!K32+'SA1'!K91+'A7-CFlow'!K35)+(('A4-FinPerf RE'!K31+'A4-FinPerf RE'!K34)*'SA8'!K47))/12</f>
        <v>15808766.960075533</v>
      </c>
      <c r="L46" s="80">
        <f>(('A4-FinPerf RE'!L25+'A4-FinPerf RE'!L26+'A4-FinPerf RE'!L27+'A4-FinPerf RE'!L29+'A4-FinPerf RE'!L30+'A4-FinPerf RE'!L32+'SA1'!L91+'A7-CFlow'!L35)+(('A4-FinPerf RE'!L31+'A4-FinPerf RE'!L34)*'SA8'!L47))/12</f>
        <v>16786744.947576065</v>
      </c>
    </row>
    <row r="47" spans="1:13" x14ac:dyDescent="0.25">
      <c r="A47" s="27" t="s">
        <v>1387</v>
      </c>
      <c r="C47" s="2261">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864</v>
      </c>
      <c r="C48" s="1622">
        <f>'A5-Capex'!C40-'A5-Capex'!C70-'A5-Capex'!C71</f>
        <v>29338428.289999999</v>
      </c>
      <c r="D48" s="1622">
        <f>'A5-Capex'!D40-'A5-Capex'!D70-'A5-Capex'!D71</f>
        <v>16836742.930000003</v>
      </c>
      <c r="E48" s="1622">
        <f>'A5-Capex'!E40-'A5-Capex'!E70-'A5-Capex'!E71</f>
        <v>14924388</v>
      </c>
      <c r="F48" s="1622">
        <f>'A5-Capex'!F40-'A5-Capex'!F70-'A5-Capex'!F71</f>
        <v>38410213</v>
      </c>
      <c r="G48" s="1622">
        <f>'A5-Capex'!G40-'A5-Capex'!G70-'A5-Capex'!G71</f>
        <v>35599956</v>
      </c>
      <c r="H48" s="1622">
        <f>'A5-Capex'!H40-'A5-Capex'!H70-'A5-Capex'!H71</f>
        <v>35599956</v>
      </c>
      <c r="I48" s="1622">
        <f>'A5-Capex'!I40-'A5-Capex'!I70-'A5-Capex'!I71</f>
        <v>35599956</v>
      </c>
      <c r="J48" s="1622">
        <f>'A5-Capex'!J40-'A5-Capex'!J70-'A5-Capex'!J71</f>
        <v>35107957.5</v>
      </c>
      <c r="K48" s="1622">
        <f>'A5-Capex'!K40-'A5-Capex'!K70-'A5-Capex'!K71</f>
        <v>36366434.950000003</v>
      </c>
      <c r="L48" s="1622">
        <f>'A5-Capex'!L40-'A5-Capex'!L70-'A5-Capex'!L71</f>
        <v>38548421.049999997</v>
      </c>
    </row>
    <row r="49" spans="1:12" x14ac:dyDescent="0.25">
      <c r="A49" s="27" t="s">
        <v>1231</v>
      </c>
      <c r="C49" s="1622">
        <f>'A7-CFlow'!C31+'A7-CFlow'!C32</f>
        <v>0</v>
      </c>
      <c r="D49" s="1622">
        <f>'A7-CFlow'!D31+'A7-CFlow'!D32</f>
        <v>998145</v>
      </c>
      <c r="E49" s="1622">
        <f>'A7-CFlow'!E31+'A7-CFlow'!E32</f>
        <v>0</v>
      </c>
      <c r="F49" s="1622">
        <f>'A7-CFlow'!F31+'A7-CFlow'!F32</f>
        <v>0</v>
      </c>
      <c r="G49" s="1622">
        <f>'A7-CFlow'!G31+'A7-CFlow'!G32</f>
        <v>0</v>
      </c>
      <c r="H49" s="1622">
        <f>'A7-CFlow'!H31+'A7-CFlow'!H32</f>
        <v>0</v>
      </c>
      <c r="I49" s="1622">
        <f>'A7-CFlow'!I31+'A7-CFlow'!I32</f>
        <v>0</v>
      </c>
      <c r="J49" s="1622">
        <f>'A7-CFlow'!J31+'A7-CFlow'!J32</f>
        <v>0</v>
      </c>
      <c r="K49" s="1622">
        <f>'A7-CFlow'!K31+'A7-CFlow'!K32</f>
        <v>0</v>
      </c>
      <c r="L49" s="1622">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zoomScale="110" zoomScaleNormal="110" workbookViewId="0">
      <selection activeCell="H48" sqref="H48"/>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LIM471 Ephraim Mogale - Supporting Table SA9 Social, economic and demographic statistics and assumptions</v>
      </c>
      <c r="B1" s="1774"/>
      <c r="C1" s="25"/>
      <c r="D1" s="25"/>
      <c r="E1" s="25"/>
      <c r="F1" s="25"/>
      <c r="G1" s="25"/>
      <c r="H1" s="25"/>
      <c r="I1" s="25"/>
      <c r="J1" s="25"/>
      <c r="K1" s="25"/>
      <c r="L1" s="25"/>
      <c r="M1" s="25"/>
    </row>
    <row r="2" spans="1:13" ht="33.75" customHeight="1" x14ac:dyDescent="0.25">
      <c r="A2" s="2697" t="s">
        <v>605</v>
      </c>
      <c r="B2" s="2704" t="s">
        <v>1894</v>
      </c>
      <c r="C2" s="2697" t="s">
        <v>1038</v>
      </c>
      <c r="D2" s="2697" t="str">
        <f>Head44</f>
        <v>2001 Census</v>
      </c>
      <c r="E2" s="2697" t="s">
        <v>200</v>
      </c>
      <c r="F2" s="2697" t="str">
        <f>Head45</f>
        <v>2011 Census</v>
      </c>
      <c r="G2" s="1836" t="str">
        <f>head1b</f>
        <v>2012/13</v>
      </c>
      <c r="H2" s="1837" t="str">
        <f>head1A</f>
        <v>2013/14</v>
      </c>
      <c r="I2" s="1838" t="str">
        <f>Head1</f>
        <v>2014/15</v>
      </c>
      <c r="J2" s="1839" t="str">
        <f>Head2</f>
        <v>Current Year 2015/16</v>
      </c>
      <c r="K2" s="2699" t="str">
        <f>Head3</f>
        <v>2016/17 Medium Term Revenue &amp; Expenditure Framework</v>
      </c>
      <c r="L2" s="2699"/>
      <c r="M2" s="2700"/>
    </row>
    <row r="3" spans="1:13" ht="24.95" customHeight="1" x14ac:dyDescent="0.25">
      <c r="A3" s="2698"/>
      <c r="B3" s="2705"/>
      <c r="C3" s="2698"/>
      <c r="D3" s="2698"/>
      <c r="E3" s="2698"/>
      <c r="F3" s="2698"/>
      <c r="G3" s="876" t="str">
        <f t="shared" ref="G3:M3" si="0">Head5A</f>
        <v>Outcome</v>
      </c>
      <c r="H3" s="877" t="str">
        <f t="shared" si="0"/>
        <v>Outcome</v>
      </c>
      <c r="I3" s="1840" t="str">
        <f t="shared" si="0"/>
        <v>Outcome</v>
      </c>
      <c r="J3" s="1841" t="str">
        <f>Head6</f>
        <v>Original Budget</v>
      </c>
      <c r="K3" s="1842" t="str">
        <f t="shared" si="0"/>
        <v>Outcome</v>
      </c>
      <c r="L3" s="877" t="str">
        <f t="shared" si="0"/>
        <v>Outcome</v>
      </c>
      <c r="M3" s="1843" t="str">
        <f t="shared" si="0"/>
        <v>Outcome</v>
      </c>
    </row>
    <row r="4" spans="1:13" ht="11.25" customHeight="1" x14ac:dyDescent="0.25">
      <c r="A4" s="397" t="s">
        <v>609</v>
      </c>
      <c r="B4" s="1850"/>
      <c r="C4" s="1775"/>
      <c r="D4" s="398"/>
      <c r="E4" s="398"/>
      <c r="F4" s="398"/>
      <c r="G4" s="346"/>
      <c r="H4" s="316"/>
      <c r="I4" s="399"/>
      <c r="J4" s="400"/>
      <c r="K4" s="347"/>
      <c r="L4" s="316"/>
      <c r="M4" s="345"/>
    </row>
    <row r="5" spans="1:13" ht="11.25" customHeight="1" x14ac:dyDescent="0.25">
      <c r="A5" s="182" t="s">
        <v>1070</v>
      </c>
      <c r="B5" s="1851"/>
      <c r="C5" s="2262" t="s">
        <v>2371</v>
      </c>
      <c r="D5" s="2263">
        <v>121327</v>
      </c>
      <c r="E5" s="2263">
        <v>123648</v>
      </c>
      <c r="F5" s="2263">
        <v>123648</v>
      </c>
      <c r="G5" s="2264">
        <v>123648</v>
      </c>
      <c r="H5" s="2265">
        <v>123648</v>
      </c>
      <c r="I5" s="2266">
        <v>123648</v>
      </c>
      <c r="J5" s="2267">
        <v>123648</v>
      </c>
      <c r="K5" s="2267">
        <v>123648</v>
      </c>
      <c r="L5" s="2267">
        <v>123648</v>
      </c>
      <c r="M5" s="2267">
        <v>123648</v>
      </c>
    </row>
    <row r="6" spans="1:13" ht="11.25" customHeight="1" x14ac:dyDescent="0.25">
      <c r="A6" s="401" t="s">
        <v>1068</v>
      </c>
      <c r="B6" s="1852"/>
      <c r="C6" s="2262" t="s">
        <v>2371</v>
      </c>
      <c r="D6" s="2263">
        <v>44883</v>
      </c>
      <c r="E6" s="2263">
        <v>13248</v>
      </c>
      <c r="F6" s="2263">
        <v>13248</v>
      </c>
      <c r="G6" s="2268">
        <v>13248</v>
      </c>
      <c r="H6" s="2269">
        <v>13248</v>
      </c>
      <c r="I6" s="2270">
        <v>13248</v>
      </c>
      <c r="J6" s="2271">
        <v>13248</v>
      </c>
      <c r="K6" s="2271">
        <v>13248</v>
      </c>
      <c r="L6" s="2271">
        <v>13248</v>
      </c>
      <c r="M6" s="2271">
        <v>13248</v>
      </c>
    </row>
    <row r="7" spans="1:13" ht="11.25" customHeight="1" x14ac:dyDescent="0.25">
      <c r="A7" s="401" t="s">
        <v>129</v>
      </c>
      <c r="B7" s="1852"/>
      <c r="C7" s="2262" t="s">
        <v>2371</v>
      </c>
      <c r="D7" s="2263">
        <v>36723</v>
      </c>
      <c r="E7" s="2263">
        <v>14103</v>
      </c>
      <c r="F7" s="2263">
        <v>14103</v>
      </c>
      <c r="G7" s="2268">
        <v>14103</v>
      </c>
      <c r="H7" s="2269">
        <v>14103</v>
      </c>
      <c r="I7" s="2270">
        <v>14103</v>
      </c>
      <c r="J7" s="2271">
        <v>14103</v>
      </c>
      <c r="K7" s="2271">
        <v>14103</v>
      </c>
      <c r="L7" s="2271">
        <v>14103</v>
      </c>
      <c r="M7" s="2271">
        <v>14103</v>
      </c>
    </row>
    <row r="8" spans="1:13" ht="11.25" customHeight="1" x14ac:dyDescent="0.25">
      <c r="A8" s="401" t="s">
        <v>1069</v>
      </c>
      <c r="B8" s="1852"/>
      <c r="C8" s="2262" t="s">
        <v>2371</v>
      </c>
      <c r="D8" s="2263">
        <v>32799</v>
      </c>
      <c r="E8" s="2263">
        <v>21901</v>
      </c>
      <c r="F8" s="2263">
        <v>21901</v>
      </c>
      <c r="G8" s="2268">
        <v>21901</v>
      </c>
      <c r="H8" s="2269">
        <v>21901</v>
      </c>
      <c r="I8" s="2270">
        <v>21901</v>
      </c>
      <c r="J8" s="2271">
        <v>21901</v>
      </c>
      <c r="K8" s="2271">
        <v>21901</v>
      </c>
      <c r="L8" s="2271">
        <v>21901</v>
      </c>
      <c r="M8" s="2271">
        <v>21901</v>
      </c>
    </row>
    <row r="9" spans="1:13" ht="11.25" customHeight="1" x14ac:dyDescent="0.25">
      <c r="A9" s="401" t="s">
        <v>130</v>
      </c>
      <c r="B9" s="1852"/>
      <c r="C9" s="2262" t="s">
        <v>2371</v>
      </c>
      <c r="D9" s="2263">
        <v>26836</v>
      </c>
      <c r="E9" s="2263">
        <v>21055</v>
      </c>
      <c r="F9" s="2263">
        <v>21055</v>
      </c>
      <c r="G9" s="2268">
        <v>21055</v>
      </c>
      <c r="H9" s="2269">
        <v>21055</v>
      </c>
      <c r="I9" s="2270">
        <v>21055</v>
      </c>
      <c r="J9" s="2271">
        <v>21055</v>
      </c>
      <c r="K9" s="2271">
        <v>21055</v>
      </c>
      <c r="L9" s="2271">
        <v>21055</v>
      </c>
      <c r="M9" s="2271">
        <v>21055</v>
      </c>
    </row>
    <row r="10" spans="1:13" ht="12.75" customHeight="1" x14ac:dyDescent="0.25">
      <c r="A10" s="972" t="s">
        <v>1071</v>
      </c>
      <c r="B10" s="1853"/>
      <c r="C10" s="2262" t="s">
        <v>2371</v>
      </c>
      <c r="D10" s="2273">
        <v>54355</v>
      </c>
      <c r="E10" s="2273">
        <v>12943</v>
      </c>
      <c r="F10" s="2273">
        <v>12943</v>
      </c>
      <c r="G10" s="2274">
        <v>12943</v>
      </c>
      <c r="H10" s="2275">
        <v>12943</v>
      </c>
      <c r="I10" s="2276">
        <v>12943</v>
      </c>
      <c r="J10" s="2277">
        <v>12943</v>
      </c>
      <c r="K10" s="2277">
        <v>12943</v>
      </c>
      <c r="L10" s="2277">
        <v>12943</v>
      </c>
      <c r="M10" s="2277">
        <v>12943</v>
      </c>
    </row>
    <row r="11" spans="1:13" ht="11.25" customHeight="1" x14ac:dyDescent="0.25">
      <c r="A11" s="401"/>
      <c r="B11" s="1852"/>
      <c r="C11" s="1776"/>
      <c r="D11" s="403"/>
      <c r="E11" s="403"/>
      <c r="F11" s="403"/>
      <c r="G11" s="328"/>
      <c r="H11" s="318"/>
      <c r="I11" s="405"/>
      <c r="J11" s="320"/>
      <c r="K11" s="406"/>
      <c r="L11" s="318"/>
      <c r="M11" s="327"/>
    </row>
    <row r="12" spans="1:13" ht="11.25" customHeight="1" x14ac:dyDescent="0.25">
      <c r="A12" s="404" t="s">
        <v>2102</v>
      </c>
      <c r="B12" s="1851" t="s">
        <v>2063</v>
      </c>
      <c r="C12" s="1776"/>
      <c r="D12" s="403"/>
      <c r="E12" s="403"/>
      <c r="F12" s="403"/>
      <c r="G12" s="328"/>
      <c r="H12" s="318"/>
      <c r="I12" s="405"/>
      <c r="J12" s="320"/>
      <c r="K12" s="406"/>
      <c r="L12" s="318"/>
      <c r="M12" s="327"/>
    </row>
    <row r="13" spans="1:13" ht="11.25" customHeight="1" x14ac:dyDescent="0.25">
      <c r="A13" s="1848" t="s">
        <v>2062</v>
      </c>
      <c r="B13" s="1781"/>
      <c r="C13" s="2262"/>
      <c r="D13" s="2278"/>
      <c r="E13" s="2278"/>
      <c r="F13" s="2278"/>
      <c r="G13" s="2202"/>
      <c r="H13" s="2200"/>
      <c r="I13" s="2279"/>
      <c r="J13" s="2280"/>
      <c r="K13" s="2203"/>
      <c r="L13" s="2200"/>
      <c r="M13" s="2201"/>
    </row>
    <row r="14" spans="1:13" ht="11.25" customHeight="1" x14ac:dyDescent="0.25">
      <c r="A14" s="1848" t="s">
        <v>2078</v>
      </c>
      <c r="B14" s="1781"/>
      <c r="C14" s="2262"/>
      <c r="D14" s="2278"/>
      <c r="E14" s="2278"/>
      <c r="F14" s="2278"/>
      <c r="G14" s="2202"/>
      <c r="H14" s="2200"/>
      <c r="I14" s="2279"/>
      <c r="J14" s="2280"/>
      <c r="K14" s="2203"/>
      <c r="L14" s="2200"/>
      <c r="M14" s="2201"/>
    </row>
    <row r="15" spans="1:13" ht="11.25" customHeight="1" x14ac:dyDescent="0.25">
      <c r="A15" s="1848" t="s">
        <v>2079</v>
      </c>
      <c r="B15" s="1781"/>
      <c r="C15" s="2262"/>
      <c r="D15" s="2278"/>
      <c r="E15" s="2278"/>
      <c r="F15" s="2278"/>
      <c r="G15" s="2202"/>
      <c r="H15" s="2200"/>
      <c r="I15" s="2279"/>
      <c r="J15" s="2280"/>
      <c r="K15" s="2203"/>
      <c r="L15" s="2200"/>
      <c r="M15" s="2201"/>
    </row>
    <row r="16" spans="1:13" ht="11.25" customHeight="1" x14ac:dyDescent="0.25">
      <c r="A16" s="1848" t="s">
        <v>2080</v>
      </c>
      <c r="B16" s="1781"/>
      <c r="C16" s="2262"/>
      <c r="D16" s="2278"/>
      <c r="E16" s="2278"/>
      <c r="F16" s="2278"/>
      <c r="G16" s="2202"/>
      <c r="H16" s="2200"/>
      <c r="I16" s="2279"/>
      <c r="J16" s="2280"/>
      <c r="K16" s="2203"/>
      <c r="L16" s="2200"/>
      <c r="M16" s="2201"/>
    </row>
    <row r="17" spans="1:13" ht="11.25" customHeight="1" x14ac:dyDescent="0.25">
      <c r="A17" s="1848" t="s">
        <v>2081</v>
      </c>
      <c r="B17" s="1781"/>
      <c r="C17" s="2262"/>
      <c r="D17" s="2278"/>
      <c r="E17" s="2278"/>
      <c r="F17" s="2278"/>
      <c r="G17" s="2202"/>
      <c r="H17" s="2200"/>
      <c r="I17" s="2279"/>
      <c r="J17" s="2280"/>
      <c r="K17" s="2203"/>
      <c r="L17" s="2200"/>
      <c r="M17" s="2201"/>
    </row>
    <row r="18" spans="1:13" ht="11.25" customHeight="1" x14ac:dyDescent="0.25">
      <c r="A18" s="1848" t="s">
        <v>2082</v>
      </c>
      <c r="B18" s="1781"/>
      <c r="C18" s="2262"/>
      <c r="D18" s="2278"/>
      <c r="E18" s="2278"/>
      <c r="F18" s="2278"/>
      <c r="G18" s="2202"/>
      <c r="H18" s="2200"/>
      <c r="I18" s="2279"/>
      <c r="J18" s="2280"/>
      <c r="K18" s="2203"/>
      <c r="L18" s="2200"/>
      <c r="M18" s="2201"/>
    </row>
    <row r="19" spans="1:13" ht="11.25" customHeight="1" x14ac:dyDescent="0.25">
      <c r="A19" s="1848" t="s">
        <v>2083</v>
      </c>
      <c r="B19" s="1781"/>
      <c r="C19" s="2262"/>
      <c r="D19" s="2278"/>
      <c r="E19" s="2278"/>
      <c r="F19" s="2278"/>
      <c r="G19" s="2202"/>
      <c r="H19" s="2200"/>
      <c r="I19" s="2279"/>
      <c r="J19" s="2280"/>
      <c r="K19" s="2203"/>
      <c r="L19" s="2200"/>
      <c r="M19" s="2201"/>
    </row>
    <row r="20" spans="1:13" ht="11.25" customHeight="1" x14ac:dyDescent="0.25">
      <c r="A20" s="1848" t="s">
        <v>2084</v>
      </c>
      <c r="B20" s="1781"/>
      <c r="C20" s="2262"/>
      <c r="D20" s="2278"/>
      <c r="E20" s="2278"/>
      <c r="F20" s="2278"/>
      <c r="G20" s="2202"/>
      <c r="H20" s="2200"/>
      <c r="I20" s="2279"/>
      <c r="J20" s="2280"/>
      <c r="K20" s="2203"/>
      <c r="L20" s="2200"/>
      <c r="M20" s="2201"/>
    </row>
    <row r="21" spans="1:13" ht="11.25" customHeight="1" x14ac:dyDescent="0.25">
      <c r="A21" s="1848" t="s">
        <v>2085</v>
      </c>
      <c r="B21" s="1781"/>
      <c r="C21" s="2262"/>
      <c r="D21" s="2278"/>
      <c r="E21" s="2278"/>
      <c r="F21" s="2278"/>
      <c r="G21" s="2202"/>
      <c r="H21" s="2200"/>
      <c r="I21" s="2279"/>
      <c r="J21" s="2280"/>
      <c r="K21" s="2203"/>
      <c r="L21" s="2200"/>
      <c r="M21" s="2201"/>
    </row>
    <row r="22" spans="1:13" ht="11.25" customHeight="1" x14ac:dyDescent="0.25">
      <c r="A22" s="1848" t="s">
        <v>2086</v>
      </c>
      <c r="B22" s="1781"/>
      <c r="C22" s="2262"/>
      <c r="D22" s="2278"/>
      <c r="E22" s="2278"/>
      <c r="F22" s="2278"/>
      <c r="G22" s="2202"/>
      <c r="H22" s="2200"/>
      <c r="I22" s="2279"/>
      <c r="J22" s="2280"/>
      <c r="K22" s="2203"/>
      <c r="L22" s="2200"/>
      <c r="M22" s="2201"/>
    </row>
    <row r="23" spans="1:13" ht="11.25" customHeight="1" x14ac:dyDescent="0.25">
      <c r="A23" s="1848" t="s">
        <v>2087</v>
      </c>
      <c r="B23" s="1781"/>
      <c r="C23" s="2262"/>
      <c r="D23" s="2278"/>
      <c r="E23" s="2278"/>
      <c r="F23" s="2278"/>
      <c r="G23" s="2202"/>
      <c r="H23" s="2200"/>
      <c r="I23" s="2279"/>
      <c r="J23" s="2280"/>
      <c r="K23" s="2203"/>
      <c r="L23" s="2200"/>
      <c r="M23" s="2201"/>
    </row>
    <row r="24" spans="1:13" ht="11.25" customHeight="1" x14ac:dyDescent="0.25">
      <c r="A24" s="1848" t="s">
        <v>2088</v>
      </c>
      <c r="B24" s="1781"/>
      <c r="C24" s="2262"/>
      <c r="D24" s="2278"/>
      <c r="E24" s="2278"/>
      <c r="F24" s="2278"/>
      <c r="G24" s="2202"/>
      <c r="H24" s="2200"/>
      <c r="I24" s="2279"/>
      <c r="J24" s="2280"/>
      <c r="K24" s="2203"/>
      <c r="L24" s="2200"/>
      <c r="M24" s="2201"/>
    </row>
    <row r="25" spans="1:13" ht="3.75" customHeight="1" x14ac:dyDescent="0.25">
      <c r="A25" s="1849"/>
      <c r="B25" s="1791"/>
      <c r="C25" s="2272"/>
      <c r="D25" s="2281"/>
      <c r="E25" s="2281"/>
      <c r="F25" s="2281"/>
      <c r="G25" s="2282"/>
      <c r="H25" s="2283"/>
      <c r="I25" s="2284"/>
      <c r="J25" s="2285"/>
      <c r="K25" s="2286"/>
      <c r="L25" s="2283"/>
      <c r="M25" s="2287"/>
    </row>
    <row r="26" spans="1:13" ht="11.25" customHeight="1" x14ac:dyDescent="0.25">
      <c r="A26" s="401"/>
      <c r="B26" s="1852"/>
      <c r="C26" s="1777"/>
      <c r="D26" s="407"/>
      <c r="E26" s="407"/>
      <c r="F26" s="407"/>
      <c r="G26" s="336"/>
      <c r="H26" s="334"/>
      <c r="I26" s="408"/>
      <c r="J26" s="409"/>
      <c r="K26" s="337"/>
      <c r="L26" s="334"/>
      <c r="M26" s="335"/>
    </row>
    <row r="27" spans="1:13" ht="11.25" customHeight="1" x14ac:dyDescent="0.25">
      <c r="A27" s="404" t="s">
        <v>2103</v>
      </c>
      <c r="B27" s="1851"/>
      <c r="C27" s="1777"/>
      <c r="D27" s="407"/>
      <c r="E27" s="407"/>
      <c r="F27" s="407"/>
      <c r="G27" s="336"/>
      <c r="H27" s="334"/>
      <c r="I27" s="408"/>
      <c r="J27" s="409"/>
      <c r="K27" s="337"/>
      <c r="L27" s="334"/>
      <c r="M27" s="335"/>
    </row>
    <row r="28" spans="1:13" ht="12.75" customHeight="1" x14ac:dyDescent="0.25">
      <c r="A28" s="1848" t="s">
        <v>2105</v>
      </c>
      <c r="B28" s="1781">
        <v>13</v>
      </c>
      <c r="C28" s="2262"/>
      <c r="D28" s="2289"/>
      <c r="E28" s="2289"/>
      <c r="F28" s="2289"/>
      <c r="G28" s="2290"/>
      <c r="H28" s="2291"/>
      <c r="I28" s="2292"/>
      <c r="J28" s="2293"/>
      <c r="K28" s="2294"/>
      <c r="L28" s="2291"/>
      <c r="M28" s="2295"/>
    </row>
    <row r="29" spans="1:13" ht="12.75" customHeight="1" x14ac:dyDescent="0.25">
      <c r="A29" s="2288" t="s">
        <v>1046</v>
      </c>
      <c r="B29" s="1781">
        <v>2</v>
      </c>
      <c r="C29" s="2262"/>
      <c r="D29" s="2289"/>
      <c r="E29" s="2289"/>
      <c r="F29" s="2289"/>
      <c r="G29" s="2290"/>
      <c r="H29" s="2291"/>
      <c r="I29" s="2292"/>
      <c r="J29" s="2293"/>
      <c r="K29" s="2294"/>
      <c r="L29" s="2291"/>
      <c r="M29" s="2295"/>
    </row>
    <row r="30" spans="1:13" ht="4.5" customHeight="1" x14ac:dyDescent="0.25">
      <c r="A30" s="973"/>
      <c r="B30" s="1778"/>
      <c r="C30" s="1779"/>
      <c r="D30" s="974"/>
      <c r="E30" s="974"/>
      <c r="F30" s="974"/>
      <c r="G30" s="975"/>
      <c r="H30" s="976"/>
      <c r="I30" s="977"/>
      <c r="J30" s="978"/>
      <c r="K30" s="979"/>
      <c r="L30" s="976"/>
      <c r="M30" s="980"/>
    </row>
    <row r="31" spans="1:13" ht="11.25" customHeight="1" x14ac:dyDescent="0.25">
      <c r="A31" s="404" t="s">
        <v>1719</v>
      </c>
      <c r="B31" s="1851"/>
      <c r="C31" s="1777"/>
      <c r="D31" s="407"/>
      <c r="E31" s="407"/>
      <c r="F31" s="407"/>
      <c r="G31" s="336"/>
      <c r="H31" s="334"/>
      <c r="I31" s="408"/>
      <c r="J31" s="409"/>
      <c r="K31" s="337"/>
      <c r="L31" s="334"/>
      <c r="M31" s="335"/>
    </row>
    <row r="32" spans="1:13" ht="11.25" customHeight="1" x14ac:dyDescent="0.25">
      <c r="A32" s="2288" t="s">
        <v>1720</v>
      </c>
      <c r="B32" s="1781"/>
      <c r="C32" s="2262" t="s">
        <v>2372</v>
      </c>
      <c r="D32" s="2289">
        <v>156937</v>
      </c>
      <c r="E32" s="2289">
        <v>123082</v>
      </c>
      <c r="F32" s="2289">
        <v>123082</v>
      </c>
      <c r="G32" s="2088">
        <v>123082</v>
      </c>
      <c r="H32" s="2088">
        <v>123082</v>
      </c>
      <c r="I32" s="2089">
        <v>123082</v>
      </c>
      <c r="J32" s="2109">
        <v>123082</v>
      </c>
      <c r="K32" s="2109">
        <v>123082</v>
      </c>
      <c r="L32" s="2109">
        <v>123082</v>
      </c>
      <c r="M32" s="2109">
        <v>123082</v>
      </c>
    </row>
    <row r="33" spans="1:13" ht="11.25" customHeight="1" x14ac:dyDescent="0.25">
      <c r="A33" s="2288" t="s">
        <v>1721</v>
      </c>
      <c r="B33" s="1781"/>
      <c r="C33" s="2262"/>
      <c r="D33" s="2289">
        <v>76725</v>
      </c>
      <c r="E33" s="2289">
        <v>58506</v>
      </c>
      <c r="F33" s="2289">
        <v>58506</v>
      </c>
      <c r="G33" s="2088">
        <v>58506</v>
      </c>
      <c r="H33" s="2088">
        <v>58506</v>
      </c>
      <c r="I33" s="2089">
        <v>58506</v>
      </c>
      <c r="J33" s="2109">
        <v>58506</v>
      </c>
      <c r="K33" s="2109">
        <v>58506</v>
      </c>
      <c r="L33" s="2109">
        <v>58506</v>
      </c>
      <c r="M33" s="2109">
        <v>58506</v>
      </c>
    </row>
    <row r="34" spans="1:13" ht="11.25" customHeight="1" x14ac:dyDescent="0.25">
      <c r="A34" s="2288" t="s">
        <v>1722</v>
      </c>
      <c r="B34" s="1781"/>
      <c r="C34" s="2262"/>
      <c r="D34" s="2289">
        <v>29073</v>
      </c>
      <c r="E34" s="2289">
        <v>32284</v>
      </c>
      <c r="F34" s="2289">
        <v>32284</v>
      </c>
      <c r="G34" s="2088">
        <v>32284</v>
      </c>
      <c r="H34" s="2088">
        <v>32284</v>
      </c>
      <c r="I34" s="2089">
        <v>32284</v>
      </c>
      <c r="J34" s="2109">
        <v>32284</v>
      </c>
      <c r="K34" s="2109">
        <v>32284</v>
      </c>
      <c r="L34" s="2109">
        <v>32284</v>
      </c>
      <c r="M34" s="2109">
        <v>32284</v>
      </c>
    </row>
    <row r="35" spans="1:13" ht="11.25" customHeight="1" x14ac:dyDescent="0.25">
      <c r="A35" s="2288" t="s">
        <v>1723</v>
      </c>
      <c r="B35" s="1781"/>
      <c r="C35" s="2262"/>
      <c r="D35" s="2289">
        <v>14213</v>
      </c>
      <c r="E35" s="2289">
        <v>13148</v>
      </c>
      <c r="F35" s="2289">
        <v>13148</v>
      </c>
      <c r="G35" s="2088">
        <v>13148</v>
      </c>
      <c r="H35" s="2088">
        <v>13148</v>
      </c>
      <c r="I35" s="2089">
        <v>13148</v>
      </c>
      <c r="J35" s="2109">
        <v>13148</v>
      </c>
      <c r="K35" s="2109">
        <v>13148</v>
      </c>
      <c r="L35" s="2109">
        <v>13148</v>
      </c>
      <c r="M35" s="2109">
        <v>13148</v>
      </c>
    </row>
    <row r="36" spans="1:13" ht="12.75" customHeight="1" x14ac:dyDescent="0.25">
      <c r="A36" s="2296" t="s">
        <v>285</v>
      </c>
      <c r="B36" s="1791"/>
      <c r="C36" s="2272"/>
      <c r="D36" s="2297" t="s">
        <v>2373</v>
      </c>
      <c r="E36" s="2297" t="s">
        <v>2374</v>
      </c>
      <c r="F36" s="2297" t="s">
        <v>2374</v>
      </c>
      <c r="G36" s="2298" t="s">
        <v>2374</v>
      </c>
      <c r="H36" s="2298" t="s">
        <v>2374</v>
      </c>
      <c r="I36" s="2299" t="s">
        <v>2374</v>
      </c>
      <c r="J36" s="2300" t="s">
        <v>2374</v>
      </c>
      <c r="K36" s="2300" t="s">
        <v>2407</v>
      </c>
      <c r="L36" s="2300" t="s">
        <v>2408</v>
      </c>
      <c r="M36" s="2300" t="s">
        <v>2409</v>
      </c>
    </row>
    <row r="37" spans="1:13" ht="11.25" customHeight="1" x14ac:dyDescent="0.25">
      <c r="A37" s="404"/>
      <c r="B37" s="1851"/>
      <c r="C37" s="1777"/>
      <c r="D37" s="407"/>
      <c r="E37" s="407"/>
      <c r="F37" s="407"/>
      <c r="G37" s="336"/>
      <c r="H37" s="334"/>
      <c r="I37" s="408"/>
      <c r="J37" s="409"/>
      <c r="K37" s="337"/>
      <c r="L37" s="334"/>
      <c r="M37" s="335"/>
    </row>
    <row r="38" spans="1:13" ht="11.25" customHeight="1" x14ac:dyDescent="0.25">
      <c r="A38" s="404" t="s">
        <v>1978</v>
      </c>
      <c r="B38" s="1851">
        <v>3</v>
      </c>
      <c r="C38" s="1777"/>
      <c r="D38" s="407"/>
      <c r="E38" s="407"/>
      <c r="F38" s="407"/>
      <c r="G38" s="336"/>
      <c r="H38" s="334"/>
      <c r="I38" s="408"/>
      <c r="J38" s="409"/>
      <c r="K38" s="337"/>
      <c r="L38" s="334"/>
      <c r="M38" s="335"/>
    </row>
    <row r="39" spans="1:13" ht="11.25" customHeight="1" x14ac:dyDescent="0.25">
      <c r="A39" s="2288" t="s">
        <v>874</v>
      </c>
      <c r="B39" s="1781"/>
      <c r="C39" s="2262"/>
      <c r="D39" s="2289"/>
      <c r="E39" s="2289"/>
      <c r="F39" s="2289"/>
      <c r="G39" s="2301"/>
      <c r="H39" s="2302"/>
      <c r="I39" s="2303"/>
      <c r="J39" s="2304"/>
      <c r="K39" s="2305"/>
      <c r="L39" s="2302"/>
      <c r="M39" s="2306"/>
    </row>
    <row r="40" spans="1:13" ht="11.25" customHeight="1" x14ac:dyDescent="0.25">
      <c r="A40" s="2288" t="s">
        <v>875</v>
      </c>
      <c r="B40" s="1781"/>
      <c r="C40" s="2262"/>
      <c r="D40" s="2307"/>
      <c r="E40" s="2297"/>
      <c r="F40" s="2297"/>
      <c r="G40" s="2308"/>
      <c r="H40" s="2309"/>
      <c r="I40" s="2310"/>
      <c r="J40" s="2311"/>
      <c r="K40" s="2312"/>
      <c r="L40" s="2309"/>
      <c r="M40" s="2313"/>
    </row>
    <row r="41" spans="1:13" ht="11.25" customHeight="1" x14ac:dyDescent="0.25">
      <c r="A41" s="1780" t="s">
        <v>1276</v>
      </c>
      <c r="B41" s="1781"/>
      <c r="C41" s="1782"/>
      <c r="D41" s="1783">
        <f>SUM(D39:D40)</f>
        <v>0</v>
      </c>
      <c r="E41" s="1783">
        <f t="shared" ref="E41:M41" si="1">SUM(E39:E40)</f>
        <v>0</v>
      </c>
      <c r="F41" s="1783">
        <f t="shared" si="1"/>
        <v>0</v>
      </c>
      <c r="G41" s="1784">
        <f t="shared" si="1"/>
        <v>0</v>
      </c>
      <c r="H41" s="1785">
        <f t="shared" si="1"/>
        <v>0</v>
      </c>
      <c r="I41" s="1786">
        <f t="shared" si="1"/>
        <v>0</v>
      </c>
      <c r="J41" s="1787">
        <f t="shared" si="1"/>
        <v>0</v>
      </c>
      <c r="K41" s="1788">
        <f t="shared" si="1"/>
        <v>0</v>
      </c>
      <c r="L41" s="1785">
        <f t="shared" si="1"/>
        <v>0</v>
      </c>
      <c r="M41" s="1789">
        <f t="shared" si="1"/>
        <v>0</v>
      </c>
    </row>
    <row r="42" spans="1:13" ht="11.25" customHeight="1" x14ac:dyDescent="0.25">
      <c r="A42" s="2288" t="s">
        <v>1979</v>
      </c>
      <c r="B42" s="1781">
        <v>4</v>
      </c>
      <c r="C42" s="2262"/>
      <c r="D42" s="2289">
        <v>11</v>
      </c>
      <c r="E42" s="2289">
        <v>11</v>
      </c>
      <c r="F42" s="2289">
        <v>11</v>
      </c>
      <c r="G42" s="2301">
        <v>11</v>
      </c>
      <c r="H42" s="2302">
        <v>11</v>
      </c>
      <c r="I42" s="2303">
        <v>11</v>
      </c>
      <c r="J42" s="2304">
        <v>11</v>
      </c>
      <c r="K42" s="2304">
        <v>11</v>
      </c>
      <c r="L42" s="2304">
        <v>11</v>
      </c>
      <c r="M42" s="2304">
        <v>11</v>
      </c>
    </row>
    <row r="43" spans="1:13" ht="11.25" customHeight="1" x14ac:dyDescent="0.25">
      <c r="A43" s="2288" t="s">
        <v>492</v>
      </c>
      <c r="B43" s="1781"/>
      <c r="C43" s="2262"/>
      <c r="D43" s="2289">
        <v>5562</v>
      </c>
      <c r="E43" s="2289">
        <v>5562</v>
      </c>
      <c r="F43" s="2289">
        <v>5562</v>
      </c>
      <c r="G43" s="2301">
        <v>5562</v>
      </c>
      <c r="H43" s="2302">
        <v>5562</v>
      </c>
      <c r="I43" s="2303">
        <v>5562</v>
      </c>
      <c r="J43" s="2304">
        <v>5562</v>
      </c>
      <c r="K43" s="2304">
        <v>5562</v>
      </c>
      <c r="L43" s="2304">
        <v>5562</v>
      </c>
      <c r="M43" s="2304">
        <v>5562</v>
      </c>
    </row>
    <row r="44" spans="1:13" ht="11.25" customHeight="1" x14ac:dyDescent="0.25">
      <c r="A44" s="2288" t="s">
        <v>1980</v>
      </c>
      <c r="B44" s="1781">
        <v>5</v>
      </c>
      <c r="C44" s="2262"/>
      <c r="D44" s="2314">
        <v>26731</v>
      </c>
      <c r="E44" s="2289">
        <v>26731</v>
      </c>
      <c r="F44" s="2289">
        <v>26731</v>
      </c>
      <c r="G44" s="2301">
        <v>26731</v>
      </c>
      <c r="H44" s="2302">
        <v>26731</v>
      </c>
      <c r="I44" s="2303">
        <v>26731</v>
      </c>
      <c r="J44" s="2304">
        <v>26731</v>
      </c>
      <c r="K44" s="2304">
        <v>26731</v>
      </c>
      <c r="L44" s="2304">
        <v>26731</v>
      </c>
      <c r="M44" s="2304">
        <v>26731</v>
      </c>
    </row>
    <row r="45" spans="1:13" ht="12.75" customHeight="1" x14ac:dyDescent="0.25">
      <c r="A45" s="1790" t="s">
        <v>286</v>
      </c>
      <c r="B45" s="1791"/>
      <c r="C45" s="1792"/>
      <c r="D45" s="1793">
        <f>SUM(D42:D44)</f>
        <v>32304</v>
      </c>
      <c r="E45" s="1794">
        <f t="shared" ref="E45:M45" si="2">SUM(E42:E44)</f>
        <v>32304</v>
      </c>
      <c r="F45" s="1794">
        <f t="shared" si="2"/>
        <v>32304</v>
      </c>
      <c r="G45" s="1795">
        <f t="shared" si="2"/>
        <v>32304</v>
      </c>
      <c r="H45" s="1796">
        <f t="shared" si="2"/>
        <v>32304</v>
      </c>
      <c r="I45" s="1797">
        <f t="shared" si="2"/>
        <v>32304</v>
      </c>
      <c r="J45" s="1798">
        <f t="shared" si="2"/>
        <v>32304</v>
      </c>
      <c r="K45" s="1799">
        <f t="shared" si="2"/>
        <v>32304</v>
      </c>
      <c r="L45" s="1796">
        <f t="shared" si="2"/>
        <v>32304</v>
      </c>
      <c r="M45" s="1800">
        <f t="shared" si="2"/>
        <v>32304</v>
      </c>
    </row>
    <row r="46" spans="1:13" ht="11.25" customHeight="1" x14ac:dyDescent="0.25">
      <c r="A46" s="401"/>
      <c r="B46" s="1852"/>
      <c r="C46" s="1777"/>
      <c r="D46" s="403"/>
      <c r="E46" s="403"/>
      <c r="F46" s="403"/>
      <c r="G46" s="331"/>
      <c r="H46" s="410"/>
      <c r="I46" s="411"/>
      <c r="J46" s="330"/>
      <c r="K46" s="412"/>
      <c r="L46" s="410"/>
      <c r="M46" s="329"/>
    </row>
    <row r="47" spans="1:13" ht="11.25" customHeight="1" x14ac:dyDescent="0.25">
      <c r="A47" s="413" t="s">
        <v>1981</v>
      </c>
      <c r="B47" s="1852">
        <v>6</v>
      </c>
      <c r="C47" s="1777"/>
      <c r="D47" s="414"/>
      <c r="E47" s="414"/>
      <c r="F47" s="414"/>
      <c r="G47" s="377"/>
      <c r="H47" s="375"/>
      <c r="I47" s="415"/>
      <c r="J47" s="416"/>
      <c r="K47" s="385"/>
      <c r="L47" s="382"/>
      <c r="M47" s="383"/>
    </row>
    <row r="48" spans="1:13" ht="11.25" customHeight="1" x14ac:dyDescent="0.25">
      <c r="A48" s="401" t="s">
        <v>998</v>
      </c>
      <c r="B48" s="1852"/>
      <c r="C48" s="1777"/>
      <c r="D48" s="417"/>
      <c r="E48" s="1512"/>
      <c r="F48" s="1512"/>
      <c r="G48" s="2253"/>
      <c r="H48" s="2251"/>
      <c r="I48" s="2315"/>
      <c r="J48" s="2316"/>
      <c r="K48" s="2254"/>
      <c r="L48" s="2251"/>
      <c r="M48" s="2252"/>
    </row>
    <row r="49" spans="1:13" ht="11.25" customHeight="1" x14ac:dyDescent="0.25">
      <c r="A49" s="401" t="s">
        <v>1072</v>
      </c>
      <c r="B49" s="1852"/>
      <c r="C49" s="1777"/>
      <c r="D49" s="417"/>
      <c r="E49" s="1512"/>
      <c r="F49" s="1512"/>
      <c r="G49" s="2253"/>
      <c r="H49" s="2251"/>
      <c r="I49" s="2315"/>
      <c r="J49" s="2316"/>
      <c r="K49" s="2254"/>
      <c r="L49" s="2251"/>
      <c r="M49" s="2252"/>
    </row>
    <row r="50" spans="1:13" ht="11.25" customHeight="1" x14ac:dyDescent="0.25">
      <c r="A50" s="401" t="s">
        <v>1073</v>
      </c>
      <c r="B50" s="1852"/>
      <c r="C50" s="1777"/>
      <c r="D50" s="418"/>
      <c r="E50" s="1513"/>
      <c r="F50" s="1513"/>
      <c r="G50" s="2253"/>
      <c r="H50" s="2251"/>
      <c r="I50" s="2315"/>
      <c r="J50" s="2316"/>
      <c r="K50" s="2254"/>
      <c r="L50" s="2251"/>
      <c r="M50" s="2252"/>
    </row>
    <row r="51" spans="1:13" ht="11.25" customHeight="1" x14ac:dyDescent="0.25">
      <c r="A51" s="401" t="s">
        <v>1074</v>
      </c>
      <c r="B51" s="1852"/>
      <c r="C51" s="1777"/>
      <c r="D51" s="417"/>
      <c r="E51" s="1512"/>
      <c r="F51" s="1512"/>
      <c r="G51" s="2317"/>
      <c r="H51" s="2318"/>
      <c r="I51" s="2319"/>
      <c r="J51" s="2316"/>
      <c r="K51" s="2320"/>
      <c r="L51" s="2318"/>
      <c r="M51" s="2321"/>
    </row>
    <row r="52" spans="1:13" ht="11.25" customHeight="1" x14ac:dyDescent="0.25">
      <c r="A52" s="401" t="s">
        <v>685</v>
      </c>
      <c r="B52" s="1852"/>
      <c r="C52" s="1777"/>
      <c r="D52" s="417"/>
      <c r="E52" s="1512"/>
      <c r="F52" s="1512"/>
      <c r="G52" s="2317"/>
      <c r="H52" s="2318"/>
      <c r="I52" s="2319"/>
      <c r="J52" s="2316"/>
      <c r="K52" s="2320"/>
      <c r="L52" s="2318"/>
      <c r="M52" s="2321"/>
    </row>
    <row r="53" spans="1:13" ht="12.75" customHeight="1" x14ac:dyDescent="0.25">
      <c r="A53" s="401" t="s">
        <v>686</v>
      </c>
      <c r="B53" s="1852"/>
      <c r="C53" s="1777"/>
      <c r="D53" s="417"/>
      <c r="E53" s="1512"/>
      <c r="F53" s="1512"/>
      <c r="G53" s="2317"/>
      <c r="H53" s="2318"/>
      <c r="I53" s="2319"/>
      <c r="J53" s="2316"/>
      <c r="K53" s="2320"/>
      <c r="L53" s="2318"/>
      <c r="M53" s="2321"/>
    </row>
    <row r="54" spans="1:13" ht="11.25" customHeight="1" x14ac:dyDescent="0.25">
      <c r="A54" s="402"/>
      <c r="B54" s="1852"/>
      <c r="C54" s="1777"/>
      <c r="D54" s="403"/>
      <c r="E54" s="403"/>
      <c r="F54" s="403"/>
      <c r="G54" s="332"/>
      <c r="H54" s="419"/>
      <c r="I54" s="415"/>
      <c r="J54" s="333"/>
      <c r="K54" s="378"/>
      <c r="L54" s="375"/>
      <c r="M54" s="376"/>
    </row>
    <row r="55" spans="1:13" ht="11.25" customHeight="1" x14ac:dyDescent="0.25">
      <c r="A55" s="413" t="s">
        <v>1982</v>
      </c>
      <c r="B55" s="1852">
        <v>7</v>
      </c>
      <c r="C55" s="1777"/>
      <c r="D55" s="403"/>
      <c r="E55" s="403"/>
      <c r="F55" s="403"/>
      <c r="G55" s="332"/>
      <c r="H55" s="419"/>
      <c r="I55" s="415"/>
      <c r="J55" s="333"/>
      <c r="K55" s="378"/>
      <c r="L55" s="375"/>
      <c r="M55" s="376"/>
    </row>
    <row r="56" spans="1:13" ht="11.25" customHeight="1" x14ac:dyDescent="0.25">
      <c r="A56" s="401" t="s">
        <v>1075</v>
      </c>
      <c r="B56" s="1852"/>
      <c r="C56" s="1777"/>
      <c r="D56" s="417"/>
      <c r="E56" s="1512"/>
      <c r="F56" s="1512"/>
      <c r="G56" s="2253"/>
      <c r="H56" s="2251"/>
      <c r="I56" s="2315"/>
      <c r="J56" s="2316"/>
      <c r="K56" s="2254"/>
      <c r="L56" s="2251"/>
      <c r="M56" s="2252"/>
    </row>
    <row r="57" spans="1:13" ht="11.25" customHeight="1" x14ac:dyDescent="0.25">
      <c r="A57" s="401" t="s">
        <v>1076</v>
      </c>
      <c r="B57" s="1852"/>
      <c r="C57" s="1777"/>
      <c r="D57" s="417"/>
      <c r="E57" s="1512"/>
      <c r="F57" s="1512"/>
      <c r="G57" s="2253"/>
      <c r="H57" s="2251"/>
      <c r="I57" s="2315"/>
      <c r="J57" s="2316"/>
      <c r="K57" s="2254"/>
      <c r="L57" s="2251"/>
      <c r="M57" s="2252"/>
    </row>
    <row r="58" spans="1:13" ht="11.25" customHeight="1" x14ac:dyDescent="0.25">
      <c r="A58" s="401" t="s">
        <v>557</v>
      </c>
      <c r="B58" s="1852"/>
      <c r="C58" s="1777"/>
      <c r="D58" s="417"/>
      <c r="E58" s="1512"/>
      <c r="F58" s="1512"/>
      <c r="G58" s="2253"/>
      <c r="H58" s="2251"/>
      <c r="I58" s="2315"/>
      <c r="J58" s="2316"/>
      <c r="K58" s="2254"/>
      <c r="L58" s="2251"/>
      <c r="M58" s="2252"/>
    </row>
    <row r="59" spans="1:13" ht="11.25" customHeight="1" x14ac:dyDescent="0.25">
      <c r="A59" s="401" t="s">
        <v>558</v>
      </c>
      <c r="B59" s="1852"/>
      <c r="C59" s="1777"/>
      <c r="D59" s="417"/>
      <c r="E59" s="1512"/>
      <c r="F59" s="1512"/>
      <c r="G59" s="2253"/>
      <c r="H59" s="2251"/>
      <c r="I59" s="2315"/>
      <c r="J59" s="2316"/>
      <c r="K59" s="2254"/>
      <c r="L59" s="2251"/>
      <c r="M59" s="2252"/>
    </row>
    <row r="60" spans="1:13" ht="13.5" customHeight="1" x14ac:dyDescent="0.25">
      <c r="A60" s="401" t="s">
        <v>559</v>
      </c>
      <c r="B60" s="1852"/>
      <c r="C60" s="1777"/>
      <c r="D60" s="417"/>
      <c r="E60" s="1512"/>
      <c r="F60" s="1512"/>
      <c r="G60" s="2253"/>
      <c r="H60" s="2251"/>
      <c r="I60" s="2315"/>
      <c r="J60" s="2316"/>
      <c r="K60" s="2254"/>
      <c r="L60" s="2251"/>
      <c r="M60" s="2252"/>
    </row>
    <row r="61" spans="1:13" s="586" customFormat="1" ht="3.75" customHeight="1" x14ac:dyDescent="0.25">
      <c r="A61" s="420"/>
      <c r="B61" s="1801"/>
      <c r="C61" s="1802"/>
      <c r="D61" s="421"/>
      <c r="E61" s="421"/>
      <c r="F61" s="421"/>
      <c r="G61" s="422"/>
      <c r="H61" s="423"/>
      <c r="I61" s="424"/>
      <c r="J61" s="425"/>
      <c r="K61" s="426"/>
      <c r="L61" s="427"/>
      <c r="M61" s="428"/>
    </row>
    <row r="62" spans="1:13" s="586" customFormat="1" ht="18.75" customHeight="1" x14ac:dyDescent="0.3">
      <c r="A62" s="1803" t="s">
        <v>1983</v>
      </c>
      <c r="B62" s="125"/>
      <c r="C62" s="27"/>
      <c r="D62" s="27"/>
      <c r="E62" s="27"/>
      <c r="F62" s="27"/>
      <c r="G62" s="187"/>
      <c r="H62" s="187"/>
      <c r="I62" s="187"/>
      <c r="J62" s="187"/>
      <c r="K62" s="187"/>
      <c r="L62" s="187"/>
      <c r="M62" s="187"/>
    </row>
    <row r="63" spans="1:13" s="586" customFormat="1" ht="24.95" customHeight="1" x14ac:dyDescent="0.25">
      <c r="A63" s="2703" t="s">
        <v>1984</v>
      </c>
      <c r="B63" s="1804"/>
      <c r="C63" s="1805"/>
      <c r="D63" s="1806"/>
      <c r="E63" s="1807" t="str">
        <f>head1b</f>
        <v>2012/13</v>
      </c>
      <c r="F63" s="983" t="str">
        <f>head1A</f>
        <v>2013/14</v>
      </c>
      <c r="G63" s="984" t="str">
        <f>Head1</f>
        <v>2014/15</v>
      </c>
      <c r="H63" s="2661" t="str">
        <f>Head2</f>
        <v>Current Year 2015/16</v>
      </c>
      <c r="I63" s="2662"/>
      <c r="J63" s="2663"/>
      <c r="K63" s="2661" t="str">
        <f>Head3</f>
        <v>2016/17 Medium Term Revenue &amp; Expenditure Framework</v>
      </c>
      <c r="L63" s="2662"/>
      <c r="M63" s="2663"/>
    </row>
    <row r="64" spans="1:13" s="586" customFormat="1" ht="24.95" customHeight="1" x14ac:dyDescent="0.25">
      <c r="A64" s="2703"/>
      <c r="B64" s="1808" t="s">
        <v>1894</v>
      </c>
      <c r="C64" s="1437"/>
      <c r="D64" s="1438"/>
      <c r="E64" s="1809" t="str">
        <f>Head5A</f>
        <v>Outcome</v>
      </c>
      <c r="F64" s="1810" t="str">
        <f>Head5A</f>
        <v>Outcome</v>
      </c>
      <c r="G64" s="1811" t="str">
        <f>Head5A</f>
        <v>Outcome</v>
      </c>
      <c r="H64" s="1812" t="str">
        <f>Head6</f>
        <v>Original Budget</v>
      </c>
      <c r="I64" s="1810" t="str">
        <f>Head7</f>
        <v>Adjusted Budget</v>
      </c>
      <c r="J64" s="1811" t="str">
        <f>Head8</f>
        <v>Full Year Forecast</v>
      </c>
      <c r="K64" s="1812" t="str">
        <f>Head9</f>
        <v>Budget Year 2016/17</v>
      </c>
      <c r="L64" s="1810" t="str">
        <f>Head10</f>
        <v>Budget Year +1 2017/18</v>
      </c>
      <c r="M64" s="1811" t="str">
        <f>Head11</f>
        <v>Budget Year +2 2018/19</v>
      </c>
    </row>
    <row r="65" spans="1:13" s="586" customFormat="1" ht="11.25" customHeight="1" x14ac:dyDescent="0.25">
      <c r="A65" s="27"/>
      <c r="B65" s="1813"/>
      <c r="C65" s="1814" t="s">
        <v>199</v>
      </c>
      <c r="D65" s="1844"/>
      <c r="E65" s="433"/>
      <c r="F65" s="1815"/>
      <c r="G65" s="1816"/>
      <c r="H65" s="1817"/>
      <c r="I65" s="1818"/>
      <c r="J65" s="1819"/>
      <c r="K65" s="1820"/>
      <c r="L65" s="1818"/>
      <c r="M65" s="1821"/>
    </row>
    <row r="66" spans="1:13" s="586" customFormat="1" ht="11.25" customHeight="1" x14ac:dyDescent="0.25">
      <c r="A66" s="27"/>
      <c r="B66" s="1813"/>
      <c r="C66" s="1822" t="s">
        <v>1760</v>
      </c>
      <c r="D66" s="1845"/>
      <c r="E66" s="994"/>
      <c r="F66" s="990"/>
      <c r="G66" s="993"/>
      <c r="H66" s="925"/>
      <c r="I66" s="923"/>
      <c r="J66" s="926"/>
      <c r="K66" s="927"/>
      <c r="L66" s="923"/>
      <c r="M66" s="924"/>
    </row>
    <row r="67" spans="1:13" ht="11.25" customHeight="1" x14ac:dyDescent="0.25">
      <c r="B67" s="1813"/>
      <c r="C67" s="1823" t="s">
        <v>1574</v>
      </c>
      <c r="D67" s="1845"/>
      <c r="E67" s="1926">
        <f>E113+E159+E205</f>
        <v>0</v>
      </c>
      <c r="F67" s="1922">
        <f t="shared" ref="F67:M67" si="3">F113+F159+F205</f>
        <v>0</v>
      </c>
      <c r="G67" s="1923">
        <f t="shared" si="3"/>
        <v>0</v>
      </c>
      <c r="H67" s="1924">
        <f t="shared" si="3"/>
        <v>0</v>
      </c>
      <c r="I67" s="1922">
        <f t="shared" si="3"/>
        <v>0</v>
      </c>
      <c r="J67" s="1925">
        <f t="shared" si="3"/>
        <v>0</v>
      </c>
      <c r="K67" s="1926">
        <f t="shared" si="3"/>
        <v>0</v>
      </c>
      <c r="L67" s="1922">
        <f t="shared" si="3"/>
        <v>0</v>
      </c>
      <c r="M67" s="1923">
        <f t="shared" si="3"/>
        <v>0</v>
      </c>
    </row>
    <row r="68" spans="1:13" ht="11.25" customHeight="1" x14ac:dyDescent="0.25">
      <c r="B68" s="1813"/>
      <c r="C68" s="1823" t="s">
        <v>1759</v>
      </c>
      <c r="D68" s="1845"/>
      <c r="E68" s="1926">
        <f t="shared" ref="E68:M70" si="4">E114+E160+E206</f>
        <v>0</v>
      </c>
      <c r="F68" s="1922">
        <f t="shared" si="4"/>
        <v>0</v>
      </c>
      <c r="G68" s="1923">
        <f t="shared" si="4"/>
        <v>0</v>
      </c>
      <c r="H68" s="1924">
        <f t="shared" si="4"/>
        <v>0</v>
      </c>
      <c r="I68" s="1922">
        <f t="shared" si="4"/>
        <v>0</v>
      </c>
      <c r="J68" s="1925">
        <f t="shared" si="4"/>
        <v>0</v>
      </c>
      <c r="K68" s="1926">
        <f t="shared" si="4"/>
        <v>0</v>
      </c>
      <c r="L68" s="1922">
        <f t="shared" si="4"/>
        <v>0</v>
      </c>
      <c r="M68" s="1923">
        <f t="shared" si="4"/>
        <v>0</v>
      </c>
    </row>
    <row r="69" spans="1:13" ht="11.25" customHeight="1" x14ac:dyDescent="0.25">
      <c r="B69" s="1824">
        <v>8</v>
      </c>
      <c r="C69" s="1823" t="s">
        <v>131</v>
      </c>
      <c r="D69" s="1845"/>
      <c r="E69" s="1926">
        <f t="shared" si="4"/>
        <v>0</v>
      </c>
      <c r="F69" s="1922">
        <f t="shared" si="4"/>
        <v>0</v>
      </c>
      <c r="G69" s="1923">
        <f t="shared" si="4"/>
        <v>0</v>
      </c>
      <c r="H69" s="1924">
        <f t="shared" si="4"/>
        <v>0</v>
      </c>
      <c r="I69" s="1922">
        <f t="shared" si="4"/>
        <v>0</v>
      </c>
      <c r="J69" s="1925">
        <f t="shared" si="4"/>
        <v>0</v>
      </c>
      <c r="K69" s="1926">
        <f t="shared" si="4"/>
        <v>0</v>
      </c>
      <c r="L69" s="1922">
        <f t="shared" si="4"/>
        <v>0</v>
      </c>
      <c r="M69" s="1923">
        <f t="shared" si="4"/>
        <v>0</v>
      </c>
    </row>
    <row r="70" spans="1:13" ht="11.25" customHeight="1" x14ac:dyDescent="0.25">
      <c r="B70" s="1824">
        <v>10</v>
      </c>
      <c r="C70" s="1823" t="s">
        <v>132</v>
      </c>
      <c r="D70" s="1845"/>
      <c r="E70" s="1926">
        <f t="shared" si="4"/>
        <v>0</v>
      </c>
      <c r="F70" s="1922">
        <f t="shared" si="4"/>
        <v>0</v>
      </c>
      <c r="G70" s="1923">
        <f t="shared" si="4"/>
        <v>0</v>
      </c>
      <c r="H70" s="1924">
        <f t="shared" si="4"/>
        <v>0</v>
      </c>
      <c r="I70" s="1922">
        <f t="shared" si="4"/>
        <v>0</v>
      </c>
      <c r="J70" s="1925">
        <f t="shared" si="4"/>
        <v>0</v>
      </c>
      <c r="K70" s="1926">
        <f t="shared" si="4"/>
        <v>0</v>
      </c>
      <c r="L70" s="1922">
        <f t="shared" si="4"/>
        <v>0</v>
      </c>
      <c r="M70" s="1923">
        <f t="shared" si="4"/>
        <v>0</v>
      </c>
    </row>
    <row r="71" spans="1:13" ht="11.25" customHeight="1" x14ac:dyDescent="0.25">
      <c r="B71" s="1824"/>
      <c r="C71" s="1825" t="s">
        <v>358</v>
      </c>
      <c r="D71" s="1845"/>
      <c r="E71" s="1911">
        <f>SUM(E67:E70)</f>
        <v>0</v>
      </c>
      <c r="F71" s="1907">
        <f t="shared" ref="F71:M71" si="5">SUM(F67:F70)</f>
        <v>0</v>
      </c>
      <c r="G71" s="1908">
        <f t="shared" si="5"/>
        <v>0</v>
      </c>
      <c r="H71" s="1909">
        <f t="shared" si="5"/>
        <v>0</v>
      </c>
      <c r="I71" s="1907">
        <f t="shared" si="5"/>
        <v>0</v>
      </c>
      <c r="J71" s="1910">
        <f t="shared" si="5"/>
        <v>0</v>
      </c>
      <c r="K71" s="1911">
        <f t="shared" si="5"/>
        <v>0</v>
      </c>
      <c r="L71" s="1907">
        <f t="shared" si="5"/>
        <v>0</v>
      </c>
      <c r="M71" s="1908">
        <f t="shared" si="5"/>
        <v>0</v>
      </c>
    </row>
    <row r="72" spans="1:13" ht="11.25" customHeight="1" x14ac:dyDescent="0.25">
      <c r="B72" s="1824">
        <v>9</v>
      </c>
      <c r="C72" s="1823" t="s">
        <v>481</v>
      </c>
      <c r="D72" s="1845"/>
      <c r="E72" s="1926">
        <f t="shared" ref="E72:M74" si="6">E118+E164+E210</f>
        <v>0</v>
      </c>
      <c r="F72" s="1922">
        <f t="shared" si="6"/>
        <v>0</v>
      </c>
      <c r="G72" s="1923">
        <f t="shared" si="6"/>
        <v>0</v>
      </c>
      <c r="H72" s="1924">
        <f t="shared" si="6"/>
        <v>0</v>
      </c>
      <c r="I72" s="1922">
        <f t="shared" si="6"/>
        <v>0</v>
      </c>
      <c r="J72" s="1925">
        <f t="shared" si="6"/>
        <v>0</v>
      </c>
      <c r="K72" s="1926">
        <f t="shared" si="6"/>
        <v>0</v>
      </c>
      <c r="L72" s="1922">
        <f t="shared" si="6"/>
        <v>0</v>
      </c>
      <c r="M72" s="1923">
        <f t="shared" si="6"/>
        <v>0</v>
      </c>
    </row>
    <row r="73" spans="1:13" ht="11.25" customHeight="1" x14ac:dyDescent="0.25">
      <c r="B73" s="1824">
        <v>10</v>
      </c>
      <c r="C73" s="1823" t="s">
        <v>482</v>
      </c>
      <c r="D73" s="1845"/>
      <c r="E73" s="1926">
        <f t="shared" si="6"/>
        <v>0</v>
      </c>
      <c r="F73" s="1922">
        <f t="shared" si="6"/>
        <v>0</v>
      </c>
      <c r="G73" s="1923">
        <f t="shared" si="6"/>
        <v>0</v>
      </c>
      <c r="H73" s="1924">
        <f t="shared" si="6"/>
        <v>0</v>
      </c>
      <c r="I73" s="1922">
        <f t="shared" si="6"/>
        <v>0</v>
      </c>
      <c r="J73" s="1925">
        <f t="shared" si="6"/>
        <v>0</v>
      </c>
      <c r="K73" s="1926">
        <f t="shared" si="6"/>
        <v>0</v>
      </c>
      <c r="L73" s="1922">
        <f t="shared" si="6"/>
        <v>0</v>
      </c>
      <c r="M73" s="1923">
        <f t="shared" si="6"/>
        <v>0</v>
      </c>
    </row>
    <row r="74" spans="1:13" ht="11.25" customHeight="1" x14ac:dyDescent="0.25">
      <c r="B74" s="1813"/>
      <c r="C74" s="1823" t="s">
        <v>926</v>
      </c>
      <c r="D74" s="1845"/>
      <c r="E74" s="1926">
        <f t="shared" si="6"/>
        <v>0</v>
      </c>
      <c r="F74" s="1922">
        <f t="shared" si="6"/>
        <v>0</v>
      </c>
      <c r="G74" s="1923">
        <f t="shared" si="6"/>
        <v>0</v>
      </c>
      <c r="H74" s="1924">
        <f t="shared" si="6"/>
        <v>0</v>
      </c>
      <c r="I74" s="1922">
        <f t="shared" si="6"/>
        <v>0</v>
      </c>
      <c r="J74" s="1925">
        <f t="shared" si="6"/>
        <v>0</v>
      </c>
      <c r="K74" s="1926">
        <f t="shared" si="6"/>
        <v>0</v>
      </c>
      <c r="L74" s="1922">
        <f t="shared" si="6"/>
        <v>0</v>
      </c>
      <c r="M74" s="1923">
        <f t="shared" si="6"/>
        <v>0</v>
      </c>
    </row>
    <row r="75" spans="1:13" ht="11.25" customHeight="1" x14ac:dyDescent="0.25">
      <c r="B75" s="1813"/>
      <c r="C75" s="1825" t="s">
        <v>1240</v>
      </c>
      <c r="D75" s="1845"/>
      <c r="E75" s="1916">
        <f>SUM(E72:E74)</f>
        <v>0</v>
      </c>
      <c r="F75" s="1912">
        <f t="shared" ref="F75:M75" si="7">SUM(F72:F74)</f>
        <v>0</v>
      </c>
      <c r="G75" s="1913">
        <f t="shared" si="7"/>
        <v>0</v>
      </c>
      <c r="H75" s="1914">
        <f t="shared" si="7"/>
        <v>0</v>
      </c>
      <c r="I75" s="1912">
        <f t="shared" si="7"/>
        <v>0</v>
      </c>
      <c r="J75" s="1915">
        <f t="shared" si="7"/>
        <v>0</v>
      </c>
      <c r="K75" s="1916">
        <f t="shared" si="7"/>
        <v>0</v>
      </c>
      <c r="L75" s="1912">
        <f t="shared" si="7"/>
        <v>0</v>
      </c>
      <c r="M75" s="1913">
        <f t="shared" si="7"/>
        <v>0</v>
      </c>
    </row>
    <row r="76" spans="1:13" ht="11.25" customHeight="1" x14ac:dyDescent="0.25">
      <c r="B76" s="1813"/>
      <c r="C76" s="1826" t="s">
        <v>1276</v>
      </c>
      <c r="D76" s="1845"/>
      <c r="E76" s="1921">
        <f>E71+E75</f>
        <v>0</v>
      </c>
      <c r="F76" s="1917">
        <f t="shared" ref="F76:M76" si="8">F71+F75</f>
        <v>0</v>
      </c>
      <c r="G76" s="1918">
        <f t="shared" si="8"/>
        <v>0</v>
      </c>
      <c r="H76" s="1919">
        <f t="shared" si="8"/>
        <v>0</v>
      </c>
      <c r="I76" s="1917">
        <f t="shared" si="8"/>
        <v>0</v>
      </c>
      <c r="J76" s="1920">
        <f t="shared" si="8"/>
        <v>0</v>
      </c>
      <c r="K76" s="1921">
        <f t="shared" si="8"/>
        <v>0</v>
      </c>
      <c r="L76" s="1917">
        <f t="shared" si="8"/>
        <v>0</v>
      </c>
      <c r="M76" s="1918">
        <f t="shared" si="8"/>
        <v>0</v>
      </c>
    </row>
    <row r="77" spans="1:13" ht="11.25" customHeight="1" x14ac:dyDescent="0.25">
      <c r="B77" s="1813"/>
      <c r="C77" s="1822" t="s">
        <v>1277</v>
      </c>
      <c r="D77" s="1845"/>
      <c r="E77" s="1926"/>
      <c r="F77" s="1922"/>
      <c r="G77" s="1925"/>
      <c r="H77" s="1924"/>
      <c r="I77" s="1922"/>
      <c r="J77" s="1925"/>
      <c r="K77" s="1926"/>
      <c r="L77" s="1922"/>
      <c r="M77" s="1923"/>
    </row>
    <row r="78" spans="1:13" ht="11.25" customHeight="1" x14ac:dyDescent="0.25">
      <c r="B78" s="1813"/>
      <c r="C78" s="1823" t="s">
        <v>1278</v>
      </c>
      <c r="D78" s="1845"/>
      <c r="E78" s="1926">
        <f t="shared" ref="E78:M78" si="9">E124+E170+E216</f>
        <v>0</v>
      </c>
      <c r="F78" s="1922">
        <f t="shared" si="9"/>
        <v>0</v>
      </c>
      <c r="G78" s="1923">
        <f t="shared" si="9"/>
        <v>0</v>
      </c>
      <c r="H78" s="1924">
        <f t="shared" si="9"/>
        <v>0</v>
      </c>
      <c r="I78" s="1922">
        <f t="shared" si="9"/>
        <v>0</v>
      </c>
      <c r="J78" s="1925">
        <f t="shared" si="9"/>
        <v>0</v>
      </c>
      <c r="K78" s="1926">
        <f t="shared" si="9"/>
        <v>0</v>
      </c>
      <c r="L78" s="1922">
        <f t="shared" si="9"/>
        <v>0</v>
      </c>
      <c r="M78" s="1923">
        <f t="shared" si="9"/>
        <v>0</v>
      </c>
    </row>
    <row r="79" spans="1:13" ht="11.25" customHeight="1" x14ac:dyDescent="0.25">
      <c r="B79" s="1813"/>
      <c r="C79" s="1823" t="s">
        <v>1279</v>
      </c>
      <c r="D79" s="1845"/>
      <c r="E79" s="1926">
        <f t="shared" ref="E79:M79" si="10">E125+E171+E217</f>
        <v>0</v>
      </c>
      <c r="F79" s="1922">
        <f t="shared" si="10"/>
        <v>0</v>
      </c>
      <c r="G79" s="1923">
        <f t="shared" si="10"/>
        <v>0</v>
      </c>
      <c r="H79" s="1924">
        <f t="shared" si="10"/>
        <v>0</v>
      </c>
      <c r="I79" s="1922">
        <f t="shared" si="10"/>
        <v>0</v>
      </c>
      <c r="J79" s="1925">
        <f t="shared" si="10"/>
        <v>0</v>
      </c>
      <c r="K79" s="1926">
        <f t="shared" si="10"/>
        <v>0</v>
      </c>
      <c r="L79" s="1922">
        <f t="shared" si="10"/>
        <v>0</v>
      </c>
      <c r="M79" s="1923">
        <f t="shared" si="10"/>
        <v>0</v>
      </c>
    </row>
    <row r="80" spans="1:13" ht="11.25" customHeight="1" x14ac:dyDescent="0.25">
      <c r="B80" s="1813"/>
      <c r="C80" s="1823" t="s">
        <v>1347</v>
      </c>
      <c r="D80" s="1845"/>
      <c r="E80" s="1926">
        <f t="shared" ref="E80:M80" si="11">E126+E172+E218</f>
        <v>0</v>
      </c>
      <c r="F80" s="1922">
        <f t="shared" si="11"/>
        <v>0</v>
      </c>
      <c r="G80" s="1923">
        <f t="shared" si="11"/>
        <v>0</v>
      </c>
      <c r="H80" s="1924">
        <f t="shared" si="11"/>
        <v>0</v>
      </c>
      <c r="I80" s="1922">
        <f t="shared" si="11"/>
        <v>0</v>
      </c>
      <c r="J80" s="1925">
        <f t="shared" si="11"/>
        <v>0</v>
      </c>
      <c r="K80" s="1926">
        <f t="shared" si="11"/>
        <v>0</v>
      </c>
      <c r="L80" s="1922">
        <f t="shared" si="11"/>
        <v>0</v>
      </c>
      <c r="M80" s="1923">
        <f t="shared" si="11"/>
        <v>0</v>
      </c>
    </row>
    <row r="81" spans="2:13" ht="11.25" customHeight="1" x14ac:dyDescent="0.25">
      <c r="B81" s="1813"/>
      <c r="C81" s="1823" t="s">
        <v>240</v>
      </c>
      <c r="D81" s="1845"/>
      <c r="E81" s="1926">
        <f t="shared" ref="E81:M81" si="12">E127+E173+E219</f>
        <v>0</v>
      </c>
      <c r="F81" s="1922">
        <f t="shared" si="12"/>
        <v>0</v>
      </c>
      <c r="G81" s="1923">
        <f t="shared" si="12"/>
        <v>0</v>
      </c>
      <c r="H81" s="1924">
        <f t="shared" si="12"/>
        <v>0</v>
      </c>
      <c r="I81" s="1922">
        <f t="shared" si="12"/>
        <v>0</v>
      </c>
      <c r="J81" s="1925">
        <f t="shared" si="12"/>
        <v>0</v>
      </c>
      <c r="K81" s="1926">
        <f t="shared" si="12"/>
        <v>0</v>
      </c>
      <c r="L81" s="1922">
        <f t="shared" si="12"/>
        <v>0</v>
      </c>
      <c r="M81" s="1923">
        <f t="shared" si="12"/>
        <v>0</v>
      </c>
    </row>
    <row r="82" spans="2:13" ht="11.25" customHeight="1" x14ac:dyDescent="0.25">
      <c r="B82" s="1813"/>
      <c r="C82" s="1823" t="s">
        <v>242</v>
      </c>
      <c r="D82" s="1845"/>
      <c r="E82" s="1926">
        <f t="shared" ref="E82:M82" si="13">E128+E174+E220</f>
        <v>0</v>
      </c>
      <c r="F82" s="1922">
        <f t="shared" si="13"/>
        <v>0</v>
      </c>
      <c r="G82" s="1923">
        <f t="shared" si="13"/>
        <v>0</v>
      </c>
      <c r="H82" s="1924">
        <f t="shared" si="13"/>
        <v>0</v>
      </c>
      <c r="I82" s="1922">
        <f t="shared" si="13"/>
        <v>0</v>
      </c>
      <c r="J82" s="1925">
        <f t="shared" si="13"/>
        <v>0</v>
      </c>
      <c r="K82" s="1926">
        <f t="shared" si="13"/>
        <v>0</v>
      </c>
      <c r="L82" s="1922">
        <f t="shared" si="13"/>
        <v>0</v>
      </c>
      <c r="M82" s="1923">
        <f t="shared" si="13"/>
        <v>0</v>
      </c>
    </row>
    <row r="83" spans="2:13" ht="11.25" customHeight="1" x14ac:dyDescent="0.25">
      <c r="B83" s="1813"/>
      <c r="C83" s="1825" t="s">
        <v>358</v>
      </c>
      <c r="D83" s="1845"/>
      <c r="E83" s="1911">
        <f>SUM(E78:E82)</f>
        <v>0</v>
      </c>
      <c r="F83" s="1907">
        <f t="shared" ref="F83:M83" si="14">SUM(F78:F82)</f>
        <v>0</v>
      </c>
      <c r="G83" s="1908">
        <f t="shared" si="14"/>
        <v>0</v>
      </c>
      <c r="H83" s="1909">
        <f t="shared" si="14"/>
        <v>0</v>
      </c>
      <c r="I83" s="1907">
        <f t="shared" si="14"/>
        <v>0</v>
      </c>
      <c r="J83" s="1910">
        <f t="shared" si="14"/>
        <v>0</v>
      </c>
      <c r="K83" s="1911">
        <f t="shared" si="14"/>
        <v>0</v>
      </c>
      <c r="L83" s="1907">
        <f t="shared" si="14"/>
        <v>0</v>
      </c>
      <c r="M83" s="1908">
        <f t="shared" si="14"/>
        <v>0</v>
      </c>
    </row>
    <row r="84" spans="2:13" ht="11.25" customHeight="1" x14ac:dyDescent="0.25">
      <c r="B84" s="1813"/>
      <c r="C84" s="1823" t="s">
        <v>241</v>
      </c>
      <c r="D84" s="1845"/>
      <c r="E84" s="1926">
        <f t="shared" ref="E84:M84" si="15">E130+E176+E222</f>
        <v>0</v>
      </c>
      <c r="F84" s="1922">
        <f t="shared" si="15"/>
        <v>0</v>
      </c>
      <c r="G84" s="1923">
        <f t="shared" si="15"/>
        <v>0</v>
      </c>
      <c r="H84" s="1924">
        <f t="shared" si="15"/>
        <v>0</v>
      </c>
      <c r="I84" s="1922">
        <f t="shared" si="15"/>
        <v>0</v>
      </c>
      <c r="J84" s="1925">
        <f t="shared" si="15"/>
        <v>0</v>
      </c>
      <c r="K84" s="1926">
        <f t="shared" si="15"/>
        <v>0</v>
      </c>
      <c r="L84" s="1922">
        <f t="shared" si="15"/>
        <v>0</v>
      </c>
      <c r="M84" s="1923">
        <f t="shared" si="15"/>
        <v>0</v>
      </c>
    </row>
    <row r="85" spans="2:13" ht="11.25" customHeight="1" x14ac:dyDescent="0.25">
      <c r="B85" s="1813"/>
      <c r="C85" s="1823" t="s">
        <v>1185</v>
      </c>
      <c r="D85" s="1845"/>
      <c r="E85" s="1926">
        <f t="shared" ref="E85:M85" si="16">E131+E177+E223</f>
        <v>0</v>
      </c>
      <c r="F85" s="1922">
        <f t="shared" si="16"/>
        <v>0</v>
      </c>
      <c r="G85" s="1923">
        <f t="shared" si="16"/>
        <v>0</v>
      </c>
      <c r="H85" s="1924">
        <f t="shared" si="16"/>
        <v>0</v>
      </c>
      <c r="I85" s="1922">
        <f t="shared" si="16"/>
        <v>0</v>
      </c>
      <c r="J85" s="1925">
        <f t="shared" si="16"/>
        <v>0</v>
      </c>
      <c r="K85" s="1926">
        <f t="shared" si="16"/>
        <v>0</v>
      </c>
      <c r="L85" s="1922">
        <f t="shared" si="16"/>
        <v>0</v>
      </c>
      <c r="M85" s="1923">
        <f t="shared" si="16"/>
        <v>0</v>
      </c>
    </row>
    <row r="86" spans="2:13" ht="11.25" customHeight="1" x14ac:dyDescent="0.25">
      <c r="B86" s="1813"/>
      <c r="C86" s="1823" t="s">
        <v>1349</v>
      </c>
      <c r="D86" s="1845"/>
      <c r="E86" s="1926">
        <f t="shared" ref="E86:M86" si="17">E132+E178+E224</f>
        <v>0</v>
      </c>
      <c r="F86" s="1922">
        <f t="shared" si="17"/>
        <v>0</v>
      </c>
      <c r="G86" s="1923">
        <f t="shared" si="17"/>
        <v>0</v>
      </c>
      <c r="H86" s="1924">
        <f t="shared" si="17"/>
        <v>0</v>
      </c>
      <c r="I86" s="1922">
        <f t="shared" si="17"/>
        <v>0</v>
      </c>
      <c r="J86" s="1925">
        <f t="shared" si="17"/>
        <v>0</v>
      </c>
      <c r="K86" s="1926">
        <f t="shared" si="17"/>
        <v>0</v>
      </c>
      <c r="L86" s="1922">
        <f t="shared" si="17"/>
        <v>0</v>
      </c>
      <c r="M86" s="1923">
        <f t="shared" si="17"/>
        <v>0</v>
      </c>
    </row>
    <row r="87" spans="2:13" ht="11.25" customHeight="1" x14ac:dyDescent="0.25">
      <c r="B87" s="1813"/>
      <c r="C87" s="1825" t="s">
        <v>1240</v>
      </c>
      <c r="D87" s="1845"/>
      <c r="E87" s="1916">
        <f>SUM(E84:E86)</f>
        <v>0</v>
      </c>
      <c r="F87" s="1912">
        <f t="shared" ref="F87:M87" si="18">SUM(F84:F86)</f>
        <v>0</v>
      </c>
      <c r="G87" s="1913">
        <f t="shared" si="18"/>
        <v>0</v>
      </c>
      <c r="H87" s="1914">
        <f t="shared" si="18"/>
        <v>0</v>
      </c>
      <c r="I87" s="1912">
        <f t="shared" si="18"/>
        <v>0</v>
      </c>
      <c r="J87" s="1915">
        <f t="shared" si="18"/>
        <v>0</v>
      </c>
      <c r="K87" s="1916">
        <f t="shared" si="18"/>
        <v>0</v>
      </c>
      <c r="L87" s="1912">
        <f t="shared" si="18"/>
        <v>0</v>
      </c>
      <c r="M87" s="1913">
        <f t="shared" si="18"/>
        <v>0</v>
      </c>
    </row>
    <row r="88" spans="2:13" ht="11.25" customHeight="1" x14ac:dyDescent="0.25">
      <c r="B88" s="1813"/>
      <c r="C88" s="1826" t="s">
        <v>1276</v>
      </c>
      <c r="D88" s="1845"/>
      <c r="E88" s="1921">
        <f>E83+E87</f>
        <v>0</v>
      </c>
      <c r="F88" s="1917">
        <f t="shared" ref="F88:M88" si="19">F83+F87</f>
        <v>0</v>
      </c>
      <c r="G88" s="1918">
        <f t="shared" si="19"/>
        <v>0</v>
      </c>
      <c r="H88" s="1919">
        <f t="shared" si="19"/>
        <v>0</v>
      </c>
      <c r="I88" s="1917">
        <f t="shared" si="19"/>
        <v>0</v>
      </c>
      <c r="J88" s="1920">
        <f t="shared" si="19"/>
        <v>0</v>
      </c>
      <c r="K88" s="1921">
        <f t="shared" si="19"/>
        <v>0</v>
      </c>
      <c r="L88" s="1917">
        <f t="shared" si="19"/>
        <v>0</v>
      </c>
      <c r="M88" s="1918">
        <f t="shared" si="19"/>
        <v>0</v>
      </c>
    </row>
    <row r="89" spans="2:13" ht="11.25" customHeight="1" x14ac:dyDescent="0.25">
      <c r="B89" s="1813"/>
      <c r="C89" s="1822" t="s">
        <v>646</v>
      </c>
      <c r="D89" s="1845"/>
      <c r="E89" s="1926"/>
      <c r="F89" s="1922"/>
      <c r="G89" s="1925"/>
      <c r="H89" s="1924"/>
      <c r="I89" s="1922"/>
      <c r="J89" s="1925"/>
      <c r="K89" s="1926"/>
      <c r="L89" s="1922"/>
      <c r="M89" s="1923"/>
    </row>
    <row r="90" spans="2:13" ht="11.25" customHeight="1" x14ac:dyDescent="0.25">
      <c r="B90" s="1813"/>
      <c r="C90" s="1823" t="s">
        <v>1186</v>
      </c>
      <c r="D90" s="1845"/>
      <c r="E90" s="1926">
        <f t="shared" ref="E90:M90" si="20">E136+E182+E228</f>
        <v>0</v>
      </c>
      <c r="F90" s="1922">
        <f t="shared" si="20"/>
        <v>0</v>
      </c>
      <c r="G90" s="1923">
        <f t="shared" si="20"/>
        <v>0</v>
      </c>
      <c r="H90" s="1924">
        <f t="shared" si="20"/>
        <v>878</v>
      </c>
      <c r="I90" s="1922">
        <f t="shared" si="20"/>
        <v>878</v>
      </c>
      <c r="J90" s="1925">
        <f t="shared" si="20"/>
        <v>878</v>
      </c>
      <c r="K90" s="1926">
        <f t="shared" si="20"/>
        <v>0</v>
      </c>
      <c r="L90" s="1922">
        <f t="shared" si="20"/>
        <v>0</v>
      </c>
      <c r="M90" s="1923">
        <f t="shared" si="20"/>
        <v>0</v>
      </c>
    </row>
    <row r="91" spans="2:13" ht="11.25" customHeight="1" x14ac:dyDescent="0.25">
      <c r="B91" s="1813"/>
      <c r="C91" s="1823" t="s">
        <v>483</v>
      </c>
      <c r="D91" s="1845"/>
      <c r="E91" s="1926">
        <f t="shared" ref="E91:M91" si="21">E137+E183+E229</f>
        <v>0</v>
      </c>
      <c r="F91" s="1922">
        <f t="shared" si="21"/>
        <v>0</v>
      </c>
      <c r="G91" s="1923">
        <f t="shared" si="21"/>
        <v>0</v>
      </c>
      <c r="H91" s="1924">
        <f t="shared" si="21"/>
        <v>0</v>
      </c>
      <c r="I91" s="1922">
        <f t="shared" si="21"/>
        <v>0</v>
      </c>
      <c r="J91" s="1925">
        <f t="shared" si="21"/>
        <v>0</v>
      </c>
      <c r="K91" s="1926">
        <f t="shared" si="21"/>
        <v>0</v>
      </c>
      <c r="L91" s="1922">
        <f t="shared" si="21"/>
        <v>0</v>
      </c>
      <c r="M91" s="1923">
        <f t="shared" si="21"/>
        <v>0</v>
      </c>
    </row>
    <row r="92" spans="2:13" ht="11.25" customHeight="1" x14ac:dyDescent="0.25">
      <c r="B92" s="1813"/>
      <c r="C92" s="1825" t="s">
        <v>358</v>
      </c>
      <c r="D92" s="1845"/>
      <c r="E92" s="1911">
        <f>SUM(E90:E91)</f>
        <v>0</v>
      </c>
      <c r="F92" s="1907">
        <f t="shared" ref="F92:M92" si="22">SUM(F90:F91)</f>
        <v>0</v>
      </c>
      <c r="G92" s="1908">
        <f t="shared" si="22"/>
        <v>0</v>
      </c>
      <c r="H92" s="1909">
        <f t="shared" si="22"/>
        <v>878</v>
      </c>
      <c r="I92" s="1907">
        <f t="shared" si="22"/>
        <v>878</v>
      </c>
      <c r="J92" s="1910">
        <f t="shared" si="22"/>
        <v>878</v>
      </c>
      <c r="K92" s="1911">
        <f t="shared" si="22"/>
        <v>0</v>
      </c>
      <c r="L92" s="1907">
        <f t="shared" si="22"/>
        <v>0</v>
      </c>
      <c r="M92" s="1908">
        <f t="shared" si="22"/>
        <v>0</v>
      </c>
    </row>
    <row r="93" spans="2:13" ht="11.25" customHeight="1" x14ac:dyDescent="0.25">
      <c r="B93" s="1813"/>
      <c r="C93" s="1823" t="s">
        <v>484</v>
      </c>
      <c r="D93" s="1845"/>
      <c r="E93" s="1926">
        <f t="shared" ref="E93:M93" si="23">E139+E185+E231</f>
        <v>0</v>
      </c>
      <c r="F93" s="1922">
        <f t="shared" si="23"/>
        <v>0</v>
      </c>
      <c r="G93" s="1923">
        <f t="shared" si="23"/>
        <v>0</v>
      </c>
      <c r="H93" s="1924">
        <f t="shared" si="23"/>
        <v>0</v>
      </c>
      <c r="I93" s="1922">
        <f t="shared" si="23"/>
        <v>0</v>
      </c>
      <c r="J93" s="1925">
        <f t="shared" si="23"/>
        <v>0</v>
      </c>
      <c r="K93" s="1926">
        <f t="shared" si="23"/>
        <v>0</v>
      </c>
      <c r="L93" s="1922">
        <f t="shared" si="23"/>
        <v>0</v>
      </c>
      <c r="M93" s="1923">
        <f t="shared" si="23"/>
        <v>0</v>
      </c>
    </row>
    <row r="94" spans="2:13" ht="11.25" customHeight="1" x14ac:dyDescent="0.25">
      <c r="B94" s="1813"/>
      <c r="C94" s="1823" t="s">
        <v>485</v>
      </c>
      <c r="D94" s="1845"/>
      <c r="E94" s="1926">
        <f t="shared" ref="E94:M94" si="24">E140+E186+E232</f>
        <v>0</v>
      </c>
      <c r="F94" s="1922">
        <f t="shared" si="24"/>
        <v>0</v>
      </c>
      <c r="G94" s="1923">
        <f t="shared" si="24"/>
        <v>0</v>
      </c>
      <c r="H94" s="1924">
        <f t="shared" si="24"/>
        <v>0</v>
      </c>
      <c r="I94" s="1922">
        <f t="shared" si="24"/>
        <v>0</v>
      </c>
      <c r="J94" s="1925">
        <f t="shared" si="24"/>
        <v>0</v>
      </c>
      <c r="K94" s="1926">
        <f t="shared" si="24"/>
        <v>0</v>
      </c>
      <c r="L94" s="1922">
        <f t="shared" si="24"/>
        <v>0</v>
      </c>
      <c r="M94" s="1923">
        <f t="shared" si="24"/>
        <v>0</v>
      </c>
    </row>
    <row r="95" spans="2:13" ht="11.25" customHeight="1" x14ac:dyDescent="0.25">
      <c r="B95" s="1813"/>
      <c r="C95" s="1823" t="s">
        <v>647</v>
      </c>
      <c r="D95" s="1845"/>
      <c r="E95" s="1926">
        <f t="shared" ref="E95:M95" si="25">E141+E187+E233</f>
        <v>0</v>
      </c>
      <c r="F95" s="1922">
        <f t="shared" si="25"/>
        <v>0</v>
      </c>
      <c r="G95" s="1923">
        <f t="shared" si="25"/>
        <v>0</v>
      </c>
      <c r="H95" s="1924">
        <f t="shared" si="25"/>
        <v>0</v>
      </c>
      <c r="I95" s="1922">
        <f t="shared" si="25"/>
        <v>0</v>
      </c>
      <c r="J95" s="1925">
        <f t="shared" si="25"/>
        <v>0</v>
      </c>
      <c r="K95" s="1926">
        <f t="shared" si="25"/>
        <v>0</v>
      </c>
      <c r="L95" s="1922">
        <f t="shared" si="25"/>
        <v>0</v>
      </c>
      <c r="M95" s="1923">
        <f t="shared" si="25"/>
        <v>0</v>
      </c>
    </row>
    <row r="96" spans="2:13" ht="11.25" customHeight="1" x14ac:dyDescent="0.25">
      <c r="B96" s="1813"/>
      <c r="C96" s="1825" t="s">
        <v>1240</v>
      </c>
      <c r="D96" s="1845"/>
      <c r="E96" s="1916">
        <f>SUM(E93:E95)</f>
        <v>0</v>
      </c>
      <c r="F96" s="1912">
        <f t="shared" ref="F96:M96" si="26">SUM(F93:F95)</f>
        <v>0</v>
      </c>
      <c r="G96" s="1913">
        <f t="shared" si="26"/>
        <v>0</v>
      </c>
      <c r="H96" s="1914">
        <f t="shared" si="26"/>
        <v>0</v>
      </c>
      <c r="I96" s="1912">
        <f t="shared" si="26"/>
        <v>0</v>
      </c>
      <c r="J96" s="1915">
        <f t="shared" si="26"/>
        <v>0</v>
      </c>
      <c r="K96" s="1916">
        <f t="shared" si="26"/>
        <v>0</v>
      </c>
      <c r="L96" s="1912">
        <f t="shared" si="26"/>
        <v>0</v>
      </c>
      <c r="M96" s="1913">
        <f t="shared" si="26"/>
        <v>0</v>
      </c>
    </row>
    <row r="97" spans="1:13" ht="11.25" customHeight="1" x14ac:dyDescent="0.25">
      <c r="B97" s="1813"/>
      <c r="C97" s="1826" t="s">
        <v>1276</v>
      </c>
      <c r="D97" s="1845"/>
      <c r="E97" s="1921">
        <f>E92+E96</f>
        <v>0</v>
      </c>
      <c r="F97" s="1917">
        <f t="shared" ref="F97:M97" si="27">F92+F96</f>
        <v>0</v>
      </c>
      <c r="G97" s="1918">
        <f t="shared" si="27"/>
        <v>0</v>
      </c>
      <c r="H97" s="1919">
        <f t="shared" si="27"/>
        <v>878</v>
      </c>
      <c r="I97" s="1917">
        <f t="shared" si="27"/>
        <v>878</v>
      </c>
      <c r="J97" s="1920">
        <f t="shared" si="27"/>
        <v>878</v>
      </c>
      <c r="K97" s="1921">
        <f t="shared" si="27"/>
        <v>0</v>
      </c>
      <c r="L97" s="1917">
        <f t="shared" si="27"/>
        <v>0</v>
      </c>
      <c r="M97" s="1918">
        <f t="shared" si="27"/>
        <v>0</v>
      </c>
    </row>
    <row r="98" spans="1:13" ht="11.25" customHeight="1" x14ac:dyDescent="0.25">
      <c r="B98" s="1813"/>
      <c r="C98" s="1822" t="s">
        <v>650</v>
      </c>
      <c r="D98" s="1845"/>
      <c r="E98" s="1926"/>
      <c r="F98" s="1922"/>
      <c r="G98" s="1925"/>
      <c r="H98" s="1924"/>
      <c r="I98" s="1922"/>
      <c r="J98" s="1925"/>
      <c r="K98" s="1926"/>
      <c r="L98" s="1922"/>
      <c r="M98" s="1923"/>
    </row>
    <row r="99" spans="1:13" ht="11.25" customHeight="1" x14ac:dyDescent="0.25">
      <c r="B99" s="1813"/>
      <c r="C99" s="1823" t="s">
        <v>700</v>
      </c>
      <c r="D99" s="1845"/>
      <c r="E99" s="2593">
        <f t="shared" ref="E99:M99" si="28">E145+E191+E237</f>
        <v>0</v>
      </c>
      <c r="F99" s="2591">
        <f t="shared" si="28"/>
        <v>0</v>
      </c>
      <c r="G99" s="2597">
        <f t="shared" si="28"/>
        <v>0</v>
      </c>
      <c r="H99" s="2598">
        <f t="shared" si="28"/>
        <v>5619</v>
      </c>
      <c r="I99" s="2591">
        <f t="shared" si="28"/>
        <v>5619</v>
      </c>
      <c r="J99" s="2599">
        <f t="shared" si="28"/>
        <v>5619</v>
      </c>
      <c r="K99" s="2593">
        <f t="shared" si="28"/>
        <v>0</v>
      </c>
      <c r="L99" s="2591">
        <f t="shared" si="28"/>
        <v>0</v>
      </c>
      <c r="M99" s="2597">
        <f t="shared" si="28"/>
        <v>0</v>
      </c>
    </row>
    <row r="100" spans="1:13" ht="11.25" customHeight="1" x14ac:dyDescent="0.25">
      <c r="B100" s="1813"/>
      <c r="C100" s="1825" t="s">
        <v>358</v>
      </c>
      <c r="D100" s="1845"/>
      <c r="E100" s="1926">
        <f>SUM(E99)</f>
        <v>0</v>
      </c>
      <c r="F100" s="1922">
        <f t="shared" ref="F100:M100" si="29">SUM(F99)</f>
        <v>0</v>
      </c>
      <c r="G100" s="1923">
        <f t="shared" si="29"/>
        <v>0</v>
      </c>
      <c r="H100" s="1924">
        <f t="shared" si="29"/>
        <v>5619</v>
      </c>
      <c r="I100" s="1922">
        <f t="shared" si="29"/>
        <v>5619</v>
      </c>
      <c r="J100" s="1925">
        <f t="shared" si="29"/>
        <v>5619</v>
      </c>
      <c r="K100" s="1926">
        <f t="shared" si="29"/>
        <v>0</v>
      </c>
      <c r="L100" s="1922">
        <f t="shared" si="29"/>
        <v>0</v>
      </c>
      <c r="M100" s="1923">
        <f t="shared" si="29"/>
        <v>0</v>
      </c>
    </row>
    <row r="101" spans="1:13" ht="11.25" customHeight="1" x14ac:dyDescent="0.25">
      <c r="B101" s="1813"/>
      <c r="C101" s="1823" t="s">
        <v>651</v>
      </c>
      <c r="D101" s="1845"/>
      <c r="E101" s="1926">
        <f t="shared" ref="E101:M101" si="30">E147+E193+E239</f>
        <v>0</v>
      </c>
      <c r="F101" s="1922">
        <f t="shared" si="30"/>
        <v>0</v>
      </c>
      <c r="G101" s="1923">
        <f t="shared" si="30"/>
        <v>0</v>
      </c>
      <c r="H101" s="1924">
        <f t="shared" si="30"/>
        <v>0</v>
      </c>
      <c r="I101" s="1922">
        <f t="shared" si="30"/>
        <v>0</v>
      </c>
      <c r="J101" s="1925">
        <f t="shared" si="30"/>
        <v>0</v>
      </c>
      <c r="K101" s="1926">
        <f t="shared" si="30"/>
        <v>0</v>
      </c>
      <c r="L101" s="1922">
        <f t="shared" si="30"/>
        <v>0</v>
      </c>
      <c r="M101" s="1923">
        <f t="shared" si="30"/>
        <v>0</v>
      </c>
    </row>
    <row r="102" spans="1:13" ht="11.25" customHeight="1" x14ac:dyDescent="0.25">
      <c r="B102" s="1813"/>
      <c r="C102" s="1823" t="s">
        <v>652</v>
      </c>
      <c r="D102" s="1845"/>
      <c r="E102" s="1926">
        <f t="shared" ref="E102:M102" si="31">E148+E194+E240</f>
        <v>0</v>
      </c>
      <c r="F102" s="1922">
        <f t="shared" si="31"/>
        <v>0</v>
      </c>
      <c r="G102" s="1923">
        <f t="shared" si="31"/>
        <v>0</v>
      </c>
      <c r="H102" s="1924">
        <f t="shared" si="31"/>
        <v>0</v>
      </c>
      <c r="I102" s="1922">
        <f t="shared" si="31"/>
        <v>0</v>
      </c>
      <c r="J102" s="1925">
        <f t="shared" si="31"/>
        <v>0</v>
      </c>
      <c r="K102" s="1926">
        <f t="shared" si="31"/>
        <v>0</v>
      </c>
      <c r="L102" s="1922">
        <f t="shared" si="31"/>
        <v>0</v>
      </c>
      <c r="M102" s="1923">
        <f t="shared" si="31"/>
        <v>0</v>
      </c>
    </row>
    <row r="103" spans="1:13" ht="11.25" customHeight="1" x14ac:dyDescent="0.25">
      <c r="B103" s="1813"/>
      <c r="C103" s="1823" t="s">
        <v>837</v>
      </c>
      <c r="D103" s="1845"/>
      <c r="E103" s="1926">
        <f t="shared" ref="E103:M103" si="32">E149+E195+E241</f>
        <v>0</v>
      </c>
      <c r="F103" s="1922">
        <f t="shared" si="32"/>
        <v>0</v>
      </c>
      <c r="G103" s="1923">
        <f t="shared" si="32"/>
        <v>0</v>
      </c>
      <c r="H103" s="1924">
        <f t="shared" si="32"/>
        <v>0</v>
      </c>
      <c r="I103" s="1922">
        <f t="shared" si="32"/>
        <v>0</v>
      </c>
      <c r="J103" s="1925">
        <f t="shared" si="32"/>
        <v>0</v>
      </c>
      <c r="K103" s="1926">
        <f t="shared" si="32"/>
        <v>0</v>
      </c>
      <c r="L103" s="1922">
        <f t="shared" si="32"/>
        <v>0</v>
      </c>
      <c r="M103" s="1923">
        <f t="shared" si="32"/>
        <v>0</v>
      </c>
    </row>
    <row r="104" spans="1:13" ht="11.25" customHeight="1" x14ac:dyDescent="0.25">
      <c r="B104" s="1813"/>
      <c r="C104" s="1823" t="s">
        <v>838</v>
      </c>
      <c r="D104" s="1845"/>
      <c r="E104" s="1926">
        <f t="shared" ref="E104:M104" si="33">E150+E196+E242</f>
        <v>0</v>
      </c>
      <c r="F104" s="1922">
        <f t="shared" si="33"/>
        <v>0</v>
      </c>
      <c r="G104" s="1923">
        <f t="shared" si="33"/>
        <v>0</v>
      </c>
      <c r="H104" s="1924">
        <f t="shared" si="33"/>
        <v>0</v>
      </c>
      <c r="I104" s="1922">
        <f t="shared" si="33"/>
        <v>0</v>
      </c>
      <c r="J104" s="1925">
        <f t="shared" si="33"/>
        <v>0</v>
      </c>
      <c r="K104" s="1926">
        <f t="shared" si="33"/>
        <v>0</v>
      </c>
      <c r="L104" s="1922">
        <f t="shared" si="33"/>
        <v>0</v>
      </c>
      <c r="M104" s="1923">
        <f t="shared" si="33"/>
        <v>0</v>
      </c>
    </row>
    <row r="105" spans="1:13" ht="11.25" customHeight="1" x14ac:dyDescent="0.25">
      <c r="B105" s="1813"/>
      <c r="C105" s="1823" t="s">
        <v>197</v>
      </c>
      <c r="D105" s="1845"/>
      <c r="E105" s="1926">
        <f t="shared" ref="E105:M105" si="34">E151+E197+E243</f>
        <v>0</v>
      </c>
      <c r="F105" s="1922">
        <f t="shared" si="34"/>
        <v>0</v>
      </c>
      <c r="G105" s="1923">
        <f t="shared" si="34"/>
        <v>0</v>
      </c>
      <c r="H105" s="1924">
        <f t="shared" si="34"/>
        <v>0</v>
      </c>
      <c r="I105" s="1922">
        <f t="shared" si="34"/>
        <v>0</v>
      </c>
      <c r="J105" s="1925">
        <f t="shared" si="34"/>
        <v>0</v>
      </c>
      <c r="K105" s="1926">
        <f t="shared" si="34"/>
        <v>0</v>
      </c>
      <c r="L105" s="1922">
        <f t="shared" si="34"/>
        <v>0</v>
      </c>
      <c r="M105" s="1923">
        <f t="shared" si="34"/>
        <v>0</v>
      </c>
    </row>
    <row r="106" spans="1:13" ht="11.25" customHeight="1" x14ac:dyDescent="0.25">
      <c r="B106" s="1813"/>
      <c r="C106" s="1825" t="s">
        <v>1240</v>
      </c>
      <c r="D106" s="1845"/>
      <c r="E106" s="1916">
        <f t="shared" ref="E106:M106" si="35">SUM(E101:E105)</f>
        <v>0</v>
      </c>
      <c r="F106" s="1912">
        <f t="shared" si="35"/>
        <v>0</v>
      </c>
      <c r="G106" s="1913">
        <f t="shared" si="35"/>
        <v>0</v>
      </c>
      <c r="H106" s="1914">
        <f t="shared" si="35"/>
        <v>0</v>
      </c>
      <c r="I106" s="1912">
        <f t="shared" si="35"/>
        <v>0</v>
      </c>
      <c r="J106" s="1915">
        <f t="shared" si="35"/>
        <v>0</v>
      </c>
      <c r="K106" s="1916">
        <f t="shared" si="35"/>
        <v>0</v>
      </c>
      <c r="L106" s="1912">
        <f t="shared" si="35"/>
        <v>0</v>
      </c>
      <c r="M106" s="1913">
        <f t="shared" si="35"/>
        <v>0</v>
      </c>
    </row>
    <row r="107" spans="1:13" ht="11.25" customHeight="1" x14ac:dyDescent="0.25">
      <c r="B107" s="1813"/>
      <c r="C107" s="1826" t="s">
        <v>1276</v>
      </c>
      <c r="D107" s="1845"/>
      <c r="E107" s="1921">
        <f>E100+E106</f>
        <v>0</v>
      </c>
      <c r="F107" s="1917">
        <f t="shared" ref="F107:M107" si="36">F100+F106</f>
        <v>0</v>
      </c>
      <c r="G107" s="1918">
        <f t="shared" si="36"/>
        <v>0</v>
      </c>
      <c r="H107" s="1919">
        <f t="shared" si="36"/>
        <v>5619</v>
      </c>
      <c r="I107" s="1917">
        <f t="shared" si="36"/>
        <v>5619</v>
      </c>
      <c r="J107" s="1920">
        <f t="shared" si="36"/>
        <v>5619</v>
      </c>
      <c r="K107" s="1921">
        <f t="shared" si="36"/>
        <v>0</v>
      </c>
      <c r="L107" s="1917">
        <f t="shared" si="36"/>
        <v>0</v>
      </c>
      <c r="M107" s="1918">
        <f t="shared" si="36"/>
        <v>0</v>
      </c>
    </row>
    <row r="108" spans="1:13" ht="5.0999999999999996" customHeight="1" x14ac:dyDescent="0.25">
      <c r="B108" s="1813"/>
      <c r="C108" s="1827"/>
      <c r="D108" s="1846"/>
      <c r="E108" s="1006"/>
      <c r="F108" s="1002"/>
      <c r="G108" s="1003"/>
      <c r="H108" s="1004"/>
      <c r="I108" s="1002"/>
      <c r="J108" s="1005"/>
      <c r="K108" s="1006"/>
      <c r="L108" s="1002"/>
      <c r="M108" s="1003"/>
    </row>
    <row r="109" spans="1:13" ht="24.95" customHeight="1" x14ac:dyDescent="0.25">
      <c r="A109" s="2703" t="s">
        <v>1985</v>
      </c>
      <c r="B109" s="1804"/>
      <c r="C109" s="1805"/>
      <c r="D109" s="1806"/>
      <c r="E109" s="1807" t="str">
        <f>head1b</f>
        <v>2012/13</v>
      </c>
      <c r="F109" s="983" t="str">
        <f>head1A</f>
        <v>2013/14</v>
      </c>
      <c r="G109" s="984" t="str">
        <f>Head1</f>
        <v>2014/15</v>
      </c>
      <c r="H109" s="2661" t="str">
        <f>Head2</f>
        <v>Current Year 2015/16</v>
      </c>
      <c r="I109" s="2662"/>
      <c r="J109" s="2663"/>
      <c r="K109" s="2661" t="str">
        <f>Head3</f>
        <v>2016/17 Medium Term Revenue &amp; Expenditure Framework</v>
      </c>
      <c r="L109" s="2662"/>
      <c r="M109" s="2663"/>
    </row>
    <row r="110" spans="1:13" ht="24.95" customHeight="1" x14ac:dyDescent="0.25">
      <c r="A110" s="2703"/>
      <c r="B110" s="1808" t="s">
        <v>1894</v>
      </c>
      <c r="C110" s="1437"/>
      <c r="D110" s="1438"/>
      <c r="E110" s="1809" t="str">
        <f>Head5A</f>
        <v>Outcome</v>
      </c>
      <c r="F110" s="1810" t="str">
        <f>Head5A</f>
        <v>Outcome</v>
      </c>
      <c r="G110" s="1811" t="str">
        <f>Head5A</f>
        <v>Outcome</v>
      </c>
      <c r="H110" s="1812" t="str">
        <f>Head6</f>
        <v>Original Budget</v>
      </c>
      <c r="I110" s="1810" t="str">
        <f>Head7</f>
        <v>Adjusted Budget</v>
      </c>
      <c r="J110" s="1811" t="str">
        <f>Head8</f>
        <v>Full Year Forecast</v>
      </c>
      <c r="K110" s="1812" t="str">
        <f>Head9</f>
        <v>Budget Year 2016/17</v>
      </c>
      <c r="L110" s="1810" t="str">
        <f>Head10</f>
        <v>Budget Year +1 2017/18</v>
      </c>
      <c r="M110" s="1811" t="str">
        <f>Head11</f>
        <v>Budget Year +2 2018/19</v>
      </c>
    </row>
    <row r="111" spans="1:13" ht="11.25" customHeight="1" x14ac:dyDescent="0.25">
      <c r="B111" s="1813"/>
      <c r="C111" s="1814" t="s">
        <v>199</v>
      </c>
      <c r="D111" s="1845"/>
      <c r="E111" s="433"/>
      <c r="F111" s="1815"/>
      <c r="G111" s="1816"/>
      <c r="H111" s="1817"/>
      <c r="I111" s="1818"/>
      <c r="J111" s="1819"/>
      <c r="K111" s="1820"/>
      <c r="L111" s="1818"/>
      <c r="M111" s="1821"/>
    </row>
    <row r="112" spans="1:13" ht="11.25" customHeight="1" x14ac:dyDescent="0.25">
      <c r="B112" s="1813"/>
      <c r="C112" s="1822" t="s">
        <v>1760</v>
      </c>
      <c r="D112" s="1845"/>
      <c r="E112" s="994"/>
      <c r="F112" s="990"/>
      <c r="G112" s="993"/>
      <c r="H112" s="925"/>
      <c r="I112" s="923"/>
      <c r="J112" s="926"/>
      <c r="K112" s="927"/>
      <c r="L112" s="923"/>
      <c r="M112" s="924"/>
    </row>
    <row r="113" spans="2:13" ht="11.25" customHeight="1" x14ac:dyDescent="0.25">
      <c r="B113" s="1813"/>
      <c r="C113" s="1823" t="s">
        <v>1574</v>
      </c>
      <c r="D113" s="1845"/>
      <c r="E113" s="1461"/>
      <c r="F113" s="1458"/>
      <c r="G113" s="1459"/>
      <c r="H113" s="1906"/>
      <c r="I113" s="1458"/>
      <c r="J113" s="1460"/>
      <c r="K113" s="1461"/>
      <c r="L113" s="1458"/>
      <c r="M113" s="1459"/>
    </row>
    <row r="114" spans="2:13" ht="11.25" customHeight="1" x14ac:dyDescent="0.25">
      <c r="B114" s="1813"/>
      <c r="C114" s="1823" t="s">
        <v>1759</v>
      </c>
      <c r="D114" s="1845"/>
      <c r="E114" s="1461"/>
      <c r="F114" s="1458"/>
      <c r="G114" s="1459"/>
      <c r="H114" s="1906"/>
      <c r="I114" s="1458"/>
      <c r="J114" s="1460"/>
      <c r="K114" s="1461"/>
      <c r="L114" s="1458"/>
      <c r="M114" s="1459"/>
    </row>
    <row r="115" spans="2:13" ht="11.25" customHeight="1" x14ac:dyDescent="0.25">
      <c r="B115" s="1824">
        <v>8</v>
      </c>
      <c r="C115" s="1823" t="s">
        <v>131</v>
      </c>
      <c r="D115" s="1845"/>
      <c r="E115" s="1461"/>
      <c r="F115" s="1458"/>
      <c r="G115" s="1459"/>
      <c r="H115" s="1906"/>
      <c r="I115" s="1458"/>
      <c r="J115" s="1460"/>
      <c r="K115" s="1461"/>
      <c r="L115" s="1458"/>
      <c r="M115" s="1459"/>
    </row>
    <row r="116" spans="2:13" ht="11.25" customHeight="1" x14ac:dyDescent="0.25">
      <c r="B116" s="1824">
        <v>10</v>
      </c>
      <c r="C116" s="1823" t="s">
        <v>132</v>
      </c>
      <c r="D116" s="1845"/>
      <c r="E116" s="1461"/>
      <c r="F116" s="1458"/>
      <c r="G116" s="1459"/>
      <c r="H116" s="1906"/>
      <c r="I116" s="1458"/>
      <c r="J116" s="1460"/>
      <c r="K116" s="1461"/>
      <c r="L116" s="1458"/>
      <c r="M116" s="1459"/>
    </row>
    <row r="117" spans="2:13" ht="11.25" customHeight="1" x14ac:dyDescent="0.25">
      <c r="B117" s="1824"/>
      <c r="C117" s="1825" t="s">
        <v>358</v>
      </c>
      <c r="D117" s="1845"/>
      <c r="E117" s="1911">
        <f>SUM(E113:E116)</f>
        <v>0</v>
      </c>
      <c r="F117" s="1907">
        <f t="shared" ref="F117:M117" si="37">SUM(F113:F116)</f>
        <v>0</v>
      </c>
      <c r="G117" s="1908">
        <f t="shared" si="37"/>
        <v>0</v>
      </c>
      <c r="H117" s="1909">
        <f t="shared" si="37"/>
        <v>0</v>
      </c>
      <c r="I117" s="1907">
        <f t="shared" si="37"/>
        <v>0</v>
      </c>
      <c r="J117" s="1910">
        <f t="shared" si="37"/>
        <v>0</v>
      </c>
      <c r="K117" s="1911">
        <f t="shared" si="37"/>
        <v>0</v>
      </c>
      <c r="L117" s="1907">
        <f t="shared" si="37"/>
        <v>0</v>
      </c>
      <c r="M117" s="1908">
        <f t="shared" si="37"/>
        <v>0</v>
      </c>
    </row>
    <row r="118" spans="2:13" ht="11.25" customHeight="1" x14ac:dyDescent="0.25">
      <c r="B118" s="1824">
        <v>9</v>
      </c>
      <c r="C118" s="1823" t="s">
        <v>481</v>
      </c>
      <c r="D118" s="1845"/>
      <c r="E118" s="1461"/>
      <c r="F118" s="1458"/>
      <c r="G118" s="1459"/>
      <c r="H118" s="1906"/>
      <c r="I118" s="1458"/>
      <c r="J118" s="1460"/>
      <c r="K118" s="1461"/>
      <c r="L118" s="1458"/>
      <c r="M118" s="1459"/>
    </row>
    <row r="119" spans="2:13" ht="11.25" customHeight="1" x14ac:dyDescent="0.25">
      <c r="B119" s="1824">
        <v>10</v>
      </c>
      <c r="C119" s="1823" t="s">
        <v>482</v>
      </c>
      <c r="D119" s="1845"/>
      <c r="E119" s="1461"/>
      <c r="F119" s="1458"/>
      <c r="G119" s="1459"/>
      <c r="H119" s="1906"/>
      <c r="I119" s="1458"/>
      <c r="J119" s="1460"/>
      <c r="K119" s="1461"/>
      <c r="L119" s="1458"/>
      <c r="M119" s="1459"/>
    </row>
    <row r="120" spans="2:13" ht="11.25" customHeight="1" x14ac:dyDescent="0.25">
      <c r="B120" s="1813"/>
      <c r="C120" s="1823" t="s">
        <v>926</v>
      </c>
      <c r="D120" s="1845"/>
      <c r="E120" s="1461"/>
      <c r="F120" s="1458"/>
      <c r="G120" s="1459"/>
      <c r="H120" s="1906"/>
      <c r="I120" s="1458"/>
      <c r="J120" s="1460"/>
      <c r="K120" s="1461"/>
      <c r="L120" s="1458"/>
      <c r="M120" s="1459"/>
    </row>
    <row r="121" spans="2:13" ht="11.25" customHeight="1" x14ac:dyDescent="0.25">
      <c r="B121" s="1813"/>
      <c r="C121" s="1825" t="s">
        <v>1240</v>
      </c>
      <c r="D121" s="1845"/>
      <c r="E121" s="1916">
        <f>SUM(E118:E120)</f>
        <v>0</v>
      </c>
      <c r="F121" s="1912">
        <f t="shared" ref="F121:M121" si="38">SUM(F118:F120)</f>
        <v>0</v>
      </c>
      <c r="G121" s="1913">
        <f t="shared" si="38"/>
        <v>0</v>
      </c>
      <c r="H121" s="1914">
        <f t="shared" si="38"/>
        <v>0</v>
      </c>
      <c r="I121" s="1912">
        <f t="shared" si="38"/>
        <v>0</v>
      </c>
      <c r="J121" s="1915">
        <f t="shared" si="38"/>
        <v>0</v>
      </c>
      <c r="K121" s="1916">
        <f t="shared" si="38"/>
        <v>0</v>
      </c>
      <c r="L121" s="1912">
        <f t="shared" si="38"/>
        <v>0</v>
      </c>
      <c r="M121" s="1913">
        <f t="shared" si="38"/>
        <v>0</v>
      </c>
    </row>
    <row r="122" spans="2:13" ht="11.25" customHeight="1" x14ac:dyDescent="0.25">
      <c r="B122" s="1813"/>
      <c r="C122" s="1826" t="s">
        <v>1276</v>
      </c>
      <c r="D122" s="1845"/>
      <c r="E122" s="1921">
        <f>E117+E121</f>
        <v>0</v>
      </c>
      <c r="F122" s="1917">
        <f t="shared" ref="F122:M122" si="39">F117+F121</f>
        <v>0</v>
      </c>
      <c r="G122" s="1918">
        <f t="shared" si="39"/>
        <v>0</v>
      </c>
      <c r="H122" s="1919">
        <f t="shared" si="39"/>
        <v>0</v>
      </c>
      <c r="I122" s="1917">
        <f t="shared" si="39"/>
        <v>0</v>
      </c>
      <c r="J122" s="1920">
        <f t="shared" si="39"/>
        <v>0</v>
      </c>
      <c r="K122" s="1921">
        <f t="shared" si="39"/>
        <v>0</v>
      </c>
      <c r="L122" s="1917">
        <f t="shared" si="39"/>
        <v>0</v>
      </c>
      <c r="M122" s="1918">
        <f t="shared" si="39"/>
        <v>0</v>
      </c>
    </row>
    <row r="123" spans="2:13" ht="11.25" customHeight="1" x14ac:dyDescent="0.25">
      <c r="B123" s="1813"/>
      <c r="C123" s="1822" t="s">
        <v>1277</v>
      </c>
      <c r="D123" s="1845"/>
      <c r="E123" s="1926"/>
      <c r="F123" s="1922"/>
      <c r="G123" s="1925"/>
      <c r="H123" s="1924"/>
      <c r="I123" s="1922"/>
      <c r="J123" s="1925"/>
      <c r="K123" s="1926"/>
      <c r="L123" s="1922"/>
      <c r="M123" s="1923"/>
    </row>
    <row r="124" spans="2:13" ht="11.25" customHeight="1" x14ac:dyDescent="0.25">
      <c r="B124" s="1813"/>
      <c r="C124" s="1823" t="s">
        <v>1278</v>
      </c>
      <c r="D124" s="1845"/>
      <c r="E124" s="1461"/>
      <c r="F124" s="1458"/>
      <c r="G124" s="1459"/>
      <c r="H124" s="1906"/>
      <c r="I124" s="1458"/>
      <c r="J124" s="1460"/>
      <c r="K124" s="1461"/>
      <c r="L124" s="1458"/>
      <c r="M124" s="1459"/>
    </row>
    <row r="125" spans="2:13" ht="11.25" customHeight="1" x14ac:dyDescent="0.25">
      <c r="B125" s="1813"/>
      <c r="C125" s="1823" t="s">
        <v>1279</v>
      </c>
      <c r="D125" s="1845"/>
      <c r="E125" s="1461"/>
      <c r="F125" s="1458"/>
      <c r="G125" s="1459"/>
      <c r="H125" s="1906"/>
      <c r="I125" s="1458"/>
      <c r="J125" s="1460"/>
      <c r="K125" s="1461"/>
      <c r="L125" s="1458"/>
      <c r="M125" s="1459"/>
    </row>
    <row r="126" spans="2:13" ht="11.25" customHeight="1" x14ac:dyDescent="0.25">
      <c r="B126" s="1813"/>
      <c r="C126" s="1823" t="s">
        <v>1347</v>
      </c>
      <c r="D126" s="1845"/>
      <c r="E126" s="1461"/>
      <c r="F126" s="1458"/>
      <c r="G126" s="1459"/>
      <c r="H126" s="1906"/>
      <c r="I126" s="1458"/>
      <c r="J126" s="1460"/>
      <c r="K126" s="1461"/>
      <c r="L126" s="1458"/>
      <c r="M126" s="1459"/>
    </row>
    <row r="127" spans="2:13" ht="11.25" customHeight="1" x14ac:dyDescent="0.25">
      <c r="B127" s="1813"/>
      <c r="C127" s="1823" t="s">
        <v>240</v>
      </c>
      <c r="D127" s="1845"/>
      <c r="E127" s="1461"/>
      <c r="F127" s="1458"/>
      <c r="G127" s="1459"/>
      <c r="H127" s="1906"/>
      <c r="I127" s="1458"/>
      <c r="J127" s="1460"/>
      <c r="K127" s="1461"/>
      <c r="L127" s="1458"/>
      <c r="M127" s="1459"/>
    </row>
    <row r="128" spans="2:13" ht="11.25" customHeight="1" x14ac:dyDescent="0.25">
      <c r="B128" s="1813"/>
      <c r="C128" s="1823" t="s">
        <v>242</v>
      </c>
      <c r="D128" s="1845"/>
      <c r="E128" s="1461"/>
      <c r="F128" s="1458"/>
      <c r="G128" s="1459"/>
      <c r="H128" s="1906"/>
      <c r="I128" s="1458"/>
      <c r="J128" s="1460"/>
      <c r="K128" s="1461"/>
      <c r="L128" s="1458"/>
      <c r="M128" s="1459"/>
    </row>
    <row r="129" spans="2:13" ht="11.25" customHeight="1" x14ac:dyDescent="0.25">
      <c r="B129" s="1813"/>
      <c r="C129" s="1825" t="s">
        <v>358</v>
      </c>
      <c r="D129" s="1845"/>
      <c r="E129" s="1911">
        <f>SUM(E124:E128)</f>
        <v>0</v>
      </c>
      <c r="F129" s="1907">
        <f t="shared" ref="F129:M129" si="40">SUM(F124:F128)</f>
        <v>0</v>
      </c>
      <c r="G129" s="1908">
        <f t="shared" si="40"/>
        <v>0</v>
      </c>
      <c r="H129" s="1909">
        <f t="shared" si="40"/>
        <v>0</v>
      </c>
      <c r="I129" s="1907">
        <f t="shared" si="40"/>
        <v>0</v>
      </c>
      <c r="J129" s="1910">
        <f t="shared" si="40"/>
        <v>0</v>
      </c>
      <c r="K129" s="1911">
        <f t="shared" si="40"/>
        <v>0</v>
      </c>
      <c r="L129" s="1907">
        <f t="shared" si="40"/>
        <v>0</v>
      </c>
      <c r="M129" s="1908">
        <f t="shared" si="40"/>
        <v>0</v>
      </c>
    </row>
    <row r="130" spans="2:13" ht="11.25" customHeight="1" x14ac:dyDescent="0.25">
      <c r="B130" s="1813"/>
      <c r="C130" s="1823" t="s">
        <v>241</v>
      </c>
      <c r="D130" s="1845"/>
      <c r="E130" s="1461"/>
      <c r="F130" s="1458"/>
      <c r="G130" s="1459"/>
      <c r="H130" s="1906"/>
      <c r="I130" s="1458"/>
      <c r="J130" s="1460"/>
      <c r="K130" s="1461"/>
      <c r="L130" s="1458"/>
      <c r="M130" s="1459"/>
    </row>
    <row r="131" spans="2:13" ht="11.25" customHeight="1" x14ac:dyDescent="0.25">
      <c r="B131" s="1813"/>
      <c r="C131" s="1823" t="s">
        <v>1185</v>
      </c>
      <c r="D131" s="1845"/>
      <c r="E131" s="1461"/>
      <c r="F131" s="1458"/>
      <c r="G131" s="1459"/>
      <c r="H131" s="1906"/>
      <c r="I131" s="1458"/>
      <c r="J131" s="1460"/>
      <c r="K131" s="1461"/>
      <c r="L131" s="1458"/>
      <c r="M131" s="1459"/>
    </row>
    <row r="132" spans="2:13" ht="11.25" customHeight="1" x14ac:dyDescent="0.25">
      <c r="B132" s="1813"/>
      <c r="C132" s="1823" t="s">
        <v>1349</v>
      </c>
      <c r="D132" s="1845"/>
      <c r="E132" s="1461"/>
      <c r="F132" s="1458"/>
      <c r="G132" s="1459"/>
      <c r="H132" s="1906"/>
      <c r="I132" s="1458"/>
      <c r="J132" s="1460"/>
      <c r="K132" s="1461"/>
      <c r="L132" s="1458"/>
      <c r="M132" s="1459"/>
    </row>
    <row r="133" spans="2:13" ht="11.25" customHeight="1" x14ac:dyDescent="0.25">
      <c r="B133" s="1813"/>
      <c r="C133" s="1825" t="s">
        <v>1240</v>
      </c>
      <c r="D133" s="1845"/>
      <c r="E133" s="1916">
        <f>SUM(E130:E132)</f>
        <v>0</v>
      </c>
      <c r="F133" s="1912">
        <f t="shared" ref="F133:M133" si="41">SUM(F130:F132)</f>
        <v>0</v>
      </c>
      <c r="G133" s="1913">
        <f t="shared" si="41"/>
        <v>0</v>
      </c>
      <c r="H133" s="1914">
        <f t="shared" si="41"/>
        <v>0</v>
      </c>
      <c r="I133" s="1912">
        <f t="shared" si="41"/>
        <v>0</v>
      </c>
      <c r="J133" s="1915">
        <f t="shared" si="41"/>
        <v>0</v>
      </c>
      <c r="K133" s="1916">
        <f t="shared" si="41"/>
        <v>0</v>
      </c>
      <c r="L133" s="1912">
        <f t="shared" si="41"/>
        <v>0</v>
      </c>
      <c r="M133" s="1913">
        <f t="shared" si="41"/>
        <v>0</v>
      </c>
    </row>
    <row r="134" spans="2:13" ht="11.25" customHeight="1" x14ac:dyDescent="0.25">
      <c r="B134" s="1813"/>
      <c r="C134" s="1826" t="s">
        <v>1276</v>
      </c>
      <c r="D134" s="1845"/>
      <c r="E134" s="1921">
        <f>E129+E133</f>
        <v>0</v>
      </c>
      <c r="F134" s="1917">
        <f t="shared" ref="F134:M134" si="42">F129+F133</f>
        <v>0</v>
      </c>
      <c r="G134" s="1918">
        <f t="shared" si="42"/>
        <v>0</v>
      </c>
      <c r="H134" s="1919">
        <f t="shared" si="42"/>
        <v>0</v>
      </c>
      <c r="I134" s="1917">
        <f t="shared" si="42"/>
        <v>0</v>
      </c>
      <c r="J134" s="1920">
        <f t="shared" si="42"/>
        <v>0</v>
      </c>
      <c r="K134" s="1921">
        <f t="shared" si="42"/>
        <v>0</v>
      </c>
      <c r="L134" s="1917">
        <f t="shared" si="42"/>
        <v>0</v>
      </c>
      <c r="M134" s="1918">
        <f t="shared" si="42"/>
        <v>0</v>
      </c>
    </row>
    <row r="135" spans="2:13" ht="11.25" customHeight="1" x14ac:dyDescent="0.25">
      <c r="B135" s="1813"/>
      <c r="C135" s="1822" t="s">
        <v>646</v>
      </c>
      <c r="D135" s="1845"/>
      <c r="E135" s="1926"/>
      <c r="F135" s="1922"/>
      <c r="G135" s="1925"/>
      <c r="H135" s="1924"/>
      <c r="I135" s="1922"/>
      <c r="J135" s="1925"/>
      <c r="K135" s="1926"/>
      <c r="L135" s="1922"/>
      <c r="M135" s="1923"/>
    </row>
    <row r="136" spans="2:13" ht="11.25" customHeight="1" x14ac:dyDescent="0.25">
      <c r="B136" s="1813"/>
      <c r="C136" s="1823" t="s">
        <v>1186</v>
      </c>
      <c r="D136" s="1845"/>
      <c r="E136" s="1461"/>
      <c r="F136" s="1458"/>
      <c r="G136" s="1459"/>
      <c r="H136" s="1906">
        <v>878</v>
      </c>
      <c r="I136" s="1906">
        <v>878</v>
      </c>
      <c r="J136" s="1906">
        <v>878</v>
      </c>
      <c r="K136" s="1461"/>
      <c r="L136" s="1458"/>
      <c r="M136" s="1459"/>
    </row>
    <row r="137" spans="2:13" ht="11.25" customHeight="1" x14ac:dyDescent="0.25">
      <c r="B137" s="1813"/>
      <c r="C137" s="1823" t="s">
        <v>483</v>
      </c>
      <c r="D137" s="1845"/>
      <c r="E137" s="1461"/>
      <c r="F137" s="1458"/>
      <c r="G137" s="1459"/>
      <c r="H137" s="1906"/>
      <c r="I137" s="1458"/>
      <c r="J137" s="1460"/>
      <c r="K137" s="1461"/>
      <c r="L137" s="1458"/>
      <c r="M137" s="1459"/>
    </row>
    <row r="138" spans="2:13" ht="11.25" customHeight="1" x14ac:dyDescent="0.25">
      <c r="B138" s="1813"/>
      <c r="C138" s="1825" t="s">
        <v>358</v>
      </c>
      <c r="D138" s="1845"/>
      <c r="E138" s="1911">
        <f>SUM(E136:E137)</f>
        <v>0</v>
      </c>
      <c r="F138" s="1907">
        <f t="shared" ref="F138:M138" si="43">SUM(F136:F137)</f>
        <v>0</v>
      </c>
      <c r="G138" s="1908">
        <f t="shared" si="43"/>
        <v>0</v>
      </c>
      <c r="H138" s="1909">
        <f t="shared" si="43"/>
        <v>878</v>
      </c>
      <c r="I138" s="1907">
        <f t="shared" si="43"/>
        <v>878</v>
      </c>
      <c r="J138" s="1910">
        <f t="shared" si="43"/>
        <v>878</v>
      </c>
      <c r="K138" s="1911">
        <f t="shared" si="43"/>
        <v>0</v>
      </c>
      <c r="L138" s="1907">
        <f t="shared" si="43"/>
        <v>0</v>
      </c>
      <c r="M138" s="1908">
        <f t="shared" si="43"/>
        <v>0</v>
      </c>
    </row>
    <row r="139" spans="2:13" ht="11.25" customHeight="1" x14ac:dyDescent="0.25">
      <c r="B139" s="1813"/>
      <c r="C139" s="1823" t="s">
        <v>484</v>
      </c>
      <c r="D139" s="1845"/>
      <c r="E139" s="1461"/>
      <c r="F139" s="1458"/>
      <c r="G139" s="1459"/>
      <c r="H139" s="1906"/>
      <c r="I139" s="1458"/>
      <c r="J139" s="1460"/>
      <c r="K139" s="1461"/>
      <c r="L139" s="1458"/>
      <c r="M139" s="1459"/>
    </row>
    <row r="140" spans="2:13" ht="11.25" customHeight="1" x14ac:dyDescent="0.25">
      <c r="B140" s="1813"/>
      <c r="C140" s="1823" t="s">
        <v>485</v>
      </c>
      <c r="D140" s="1845"/>
      <c r="E140" s="1461"/>
      <c r="F140" s="1458"/>
      <c r="G140" s="1459"/>
      <c r="H140" s="1906"/>
      <c r="I140" s="1458"/>
      <c r="J140" s="1460"/>
      <c r="K140" s="1461"/>
      <c r="L140" s="1458"/>
      <c r="M140" s="1459"/>
    </row>
    <row r="141" spans="2:13" ht="11.25" customHeight="1" x14ac:dyDescent="0.25">
      <c r="B141" s="1813"/>
      <c r="C141" s="1823" t="s">
        <v>647</v>
      </c>
      <c r="D141" s="1845"/>
      <c r="E141" s="1461"/>
      <c r="F141" s="1458"/>
      <c r="G141" s="1459"/>
      <c r="H141" s="1906"/>
      <c r="I141" s="1458"/>
      <c r="J141" s="1460"/>
      <c r="K141" s="1461"/>
      <c r="L141" s="1458"/>
      <c r="M141" s="1459"/>
    </row>
    <row r="142" spans="2:13" ht="11.25" customHeight="1" x14ac:dyDescent="0.25">
      <c r="B142" s="1813"/>
      <c r="C142" s="1825" t="s">
        <v>1240</v>
      </c>
      <c r="D142" s="1845"/>
      <c r="E142" s="1916">
        <f>SUM(E139:E141)</f>
        <v>0</v>
      </c>
      <c r="F142" s="1912">
        <f t="shared" ref="F142:M142" si="44">SUM(F139:F141)</f>
        <v>0</v>
      </c>
      <c r="G142" s="1913">
        <f t="shared" si="44"/>
        <v>0</v>
      </c>
      <c r="H142" s="1914">
        <f t="shared" si="44"/>
        <v>0</v>
      </c>
      <c r="I142" s="1912">
        <f t="shared" si="44"/>
        <v>0</v>
      </c>
      <c r="J142" s="1915">
        <f t="shared" si="44"/>
        <v>0</v>
      </c>
      <c r="K142" s="1916">
        <f t="shared" si="44"/>
        <v>0</v>
      </c>
      <c r="L142" s="1912">
        <f t="shared" si="44"/>
        <v>0</v>
      </c>
      <c r="M142" s="1913">
        <f t="shared" si="44"/>
        <v>0</v>
      </c>
    </row>
    <row r="143" spans="2:13" ht="11.25" customHeight="1" x14ac:dyDescent="0.25">
      <c r="B143" s="1813"/>
      <c r="C143" s="1826" t="s">
        <v>1276</v>
      </c>
      <c r="D143" s="1845"/>
      <c r="E143" s="1921">
        <f>E138+E142</f>
        <v>0</v>
      </c>
      <c r="F143" s="1917">
        <f t="shared" ref="F143:M143" si="45">F138+F142</f>
        <v>0</v>
      </c>
      <c r="G143" s="1918">
        <f t="shared" si="45"/>
        <v>0</v>
      </c>
      <c r="H143" s="1919">
        <f t="shared" si="45"/>
        <v>878</v>
      </c>
      <c r="I143" s="1917">
        <f t="shared" si="45"/>
        <v>878</v>
      </c>
      <c r="J143" s="1920">
        <f t="shared" si="45"/>
        <v>878</v>
      </c>
      <c r="K143" s="1921">
        <f t="shared" si="45"/>
        <v>0</v>
      </c>
      <c r="L143" s="1917">
        <f t="shared" si="45"/>
        <v>0</v>
      </c>
      <c r="M143" s="1918">
        <f t="shared" si="45"/>
        <v>0</v>
      </c>
    </row>
    <row r="144" spans="2:13" ht="11.25" customHeight="1" x14ac:dyDescent="0.25">
      <c r="B144" s="1813"/>
      <c r="C144" s="1822" t="s">
        <v>650</v>
      </c>
      <c r="D144" s="1845"/>
      <c r="E144" s="1926"/>
      <c r="F144" s="1922"/>
      <c r="G144" s="1925"/>
      <c r="H144" s="1924"/>
      <c r="I144" s="1922"/>
      <c r="J144" s="1925"/>
      <c r="K144" s="1926"/>
      <c r="L144" s="1922"/>
      <c r="M144" s="1923"/>
    </row>
    <row r="145" spans="1:13" ht="11.25" customHeight="1" x14ac:dyDescent="0.25">
      <c r="B145" s="1813"/>
      <c r="C145" s="1823" t="s">
        <v>700</v>
      </c>
      <c r="D145" s="1845"/>
      <c r="E145" s="1464"/>
      <c r="F145" s="1462"/>
      <c r="G145" s="1463"/>
      <c r="H145" s="1927">
        <v>5619</v>
      </c>
      <c r="I145" s="1927">
        <v>5619</v>
      </c>
      <c r="J145" s="1927">
        <v>5619</v>
      </c>
      <c r="K145" s="1464"/>
      <c r="L145" s="1462"/>
      <c r="M145" s="1463"/>
    </row>
    <row r="146" spans="1:13" ht="11.25" customHeight="1" x14ac:dyDescent="0.25">
      <c r="B146" s="1813"/>
      <c r="C146" s="1825" t="s">
        <v>358</v>
      </c>
      <c r="D146" s="1845"/>
      <c r="E146" s="1926">
        <f>SUM(E145)</f>
        <v>0</v>
      </c>
      <c r="F146" s="1922">
        <f t="shared" ref="F146:M146" si="46">SUM(F145)</f>
        <v>0</v>
      </c>
      <c r="G146" s="1923">
        <f t="shared" si="46"/>
        <v>0</v>
      </c>
      <c r="H146" s="1924">
        <f t="shared" si="46"/>
        <v>5619</v>
      </c>
      <c r="I146" s="1922">
        <f t="shared" si="46"/>
        <v>5619</v>
      </c>
      <c r="J146" s="1925">
        <f t="shared" si="46"/>
        <v>5619</v>
      </c>
      <c r="K146" s="1926">
        <f t="shared" si="46"/>
        <v>0</v>
      </c>
      <c r="L146" s="1922">
        <f t="shared" si="46"/>
        <v>0</v>
      </c>
      <c r="M146" s="1923">
        <f t="shared" si="46"/>
        <v>0</v>
      </c>
    </row>
    <row r="147" spans="1:13" ht="11.25" customHeight="1" x14ac:dyDescent="0.25">
      <c r="B147" s="1813"/>
      <c r="C147" s="1823" t="s">
        <v>651</v>
      </c>
      <c r="D147" s="1845"/>
      <c r="E147" s="1461"/>
      <c r="F147" s="1458"/>
      <c r="G147" s="1459"/>
      <c r="H147" s="1906"/>
      <c r="I147" s="1458"/>
      <c r="J147" s="1460"/>
      <c r="K147" s="1461"/>
      <c r="L147" s="1458"/>
      <c r="M147" s="1459"/>
    </row>
    <row r="148" spans="1:13" ht="11.25" customHeight="1" x14ac:dyDescent="0.25">
      <c r="B148" s="1813"/>
      <c r="C148" s="1823" t="s">
        <v>652</v>
      </c>
      <c r="D148" s="1845"/>
      <c r="E148" s="1461"/>
      <c r="F148" s="1458"/>
      <c r="G148" s="1459"/>
      <c r="H148" s="1906"/>
      <c r="I148" s="1458"/>
      <c r="J148" s="1460"/>
      <c r="K148" s="1461"/>
      <c r="L148" s="1458"/>
      <c r="M148" s="1459"/>
    </row>
    <row r="149" spans="1:13" ht="11.25" customHeight="1" x14ac:dyDescent="0.25">
      <c r="B149" s="1813"/>
      <c r="C149" s="1823" t="s">
        <v>837</v>
      </c>
      <c r="D149" s="1845"/>
      <c r="E149" s="1461"/>
      <c r="F149" s="1458"/>
      <c r="G149" s="1459"/>
      <c r="H149" s="1906"/>
      <c r="I149" s="1458"/>
      <c r="J149" s="1460"/>
      <c r="K149" s="1461"/>
      <c r="L149" s="1458"/>
      <c r="M149" s="1459"/>
    </row>
    <row r="150" spans="1:13" ht="11.25" customHeight="1" x14ac:dyDescent="0.25">
      <c r="B150" s="1813"/>
      <c r="C150" s="1823" t="s">
        <v>838</v>
      </c>
      <c r="D150" s="1845"/>
      <c r="E150" s="1461"/>
      <c r="F150" s="1458"/>
      <c r="G150" s="1459"/>
      <c r="H150" s="1906"/>
      <c r="I150" s="1458"/>
      <c r="J150" s="1460"/>
      <c r="K150" s="1461"/>
      <c r="L150" s="1458"/>
      <c r="M150" s="1459"/>
    </row>
    <row r="151" spans="1:13" ht="11.25" customHeight="1" x14ac:dyDescent="0.25">
      <c r="B151" s="1813"/>
      <c r="C151" s="1823" t="s">
        <v>197</v>
      </c>
      <c r="D151" s="1845"/>
      <c r="E151" s="1461"/>
      <c r="F151" s="1458"/>
      <c r="G151" s="1459"/>
      <c r="H151" s="1906"/>
      <c r="I151" s="1458"/>
      <c r="J151" s="1460"/>
      <c r="K151" s="1461"/>
      <c r="L151" s="1458"/>
      <c r="M151" s="1459"/>
    </row>
    <row r="152" spans="1:13" ht="11.25" customHeight="1" x14ac:dyDescent="0.25">
      <c r="B152" s="1813"/>
      <c r="C152" s="1825" t="s">
        <v>1240</v>
      </c>
      <c r="D152" s="1845"/>
      <c r="E152" s="1916">
        <f t="shared" ref="E152:M152" si="47">SUM(E147:E151)</f>
        <v>0</v>
      </c>
      <c r="F152" s="1912">
        <f t="shared" si="47"/>
        <v>0</v>
      </c>
      <c r="G152" s="1913">
        <f t="shared" si="47"/>
        <v>0</v>
      </c>
      <c r="H152" s="1914">
        <f t="shared" si="47"/>
        <v>0</v>
      </c>
      <c r="I152" s="1912">
        <f t="shared" si="47"/>
        <v>0</v>
      </c>
      <c r="J152" s="1915">
        <f t="shared" si="47"/>
        <v>0</v>
      </c>
      <c r="K152" s="1916">
        <f t="shared" si="47"/>
        <v>0</v>
      </c>
      <c r="L152" s="1912">
        <f t="shared" si="47"/>
        <v>0</v>
      </c>
      <c r="M152" s="1913">
        <f t="shared" si="47"/>
        <v>0</v>
      </c>
    </row>
    <row r="153" spans="1:13" ht="11.25" customHeight="1" x14ac:dyDescent="0.25">
      <c r="B153" s="1813"/>
      <c r="C153" s="1826" t="s">
        <v>1276</v>
      </c>
      <c r="D153" s="1845"/>
      <c r="E153" s="1921">
        <f>E146+E152</f>
        <v>0</v>
      </c>
      <c r="F153" s="1917">
        <f t="shared" ref="F153:M153" si="48">F146+F152</f>
        <v>0</v>
      </c>
      <c r="G153" s="1918">
        <f t="shared" si="48"/>
        <v>0</v>
      </c>
      <c r="H153" s="1919">
        <f t="shared" si="48"/>
        <v>5619</v>
      </c>
      <c r="I153" s="1917">
        <f t="shared" si="48"/>
        <v>5619</v>
      </c>
      <c r="J153" s="1920">
        <f t="shared" si="48"/>
        <v>5619</v>
      </c>
      <c r="K153" s="1921">
        <f t="shared" si="48"/>
        <v>0</v>
      </c>
      <c r="L153" s="1917">
        <f t="shared" si="48"/>
        <v>0</v>
      </c>
      <c r="M153" s="1918">
        <f t="shared" si="48"/>
        <v>0</v>
      </c>
    </row>
    <row r="154" spans="1:13" ht="5.0999999999999996" customHeight="1" x14ac:dyDescent="0.25">
      <c r="B154" s="1813"/>
      <c r="C154" s="1827"/>
      <c r="D154" s="1846"/>
      <c r="E154" s="1006"/>
      <c r="F154" s="1002"/>
      <c r="G154" s="1003"/>
      <c r="H154" s="1004"/>
      <c r="I154" s="1002"/>
      <c r="J154" s="1005"/>
      <c r="K154" s="1006"/>
      <c r="L154" s="1002"/>
      <c r="M154" s="1003"/>
    </row>
    <row r="155" spans="1:13" ht="24.95" customHeight="1" x14ac:dyDescent="0.25">
      <c r="A155" s="2703" t="s">
        <v>1986</v>
      </c>
      <c r="B155" s="1804"/>
      <c r="C155" s="1805"/>
      <c r="D155" s="1806"/>
      <c r="E155" s="1807" t="str">
        <f>head1b</f>
        <v>2012/13</v>
      </c>
      <c r="F155" s="983" t="str">
        <f>head1A</f>
        <v>2013/14</v>
      </c>
      <c r="G155" s="984" t="str">
        <f>Head1</f>
        <v>2014/15</v>
      </c>
      <c r="H155" s="2661" t="str">
        <f>Head2</f>
        <v>Current Year 2015/16</v>
      </c>
      <c r="I155" s="2662"/>
      <c r="J155" s="2663"/>
      <c r="K155" s="2661" t="str">
        <f>Head3</f>
        <v>2016/17 Medium Term Revenue &amp; Expenditure Framework</v>
      </c>
      <c r="L155" s="2662"/>
      <c r="M155" s="2663"/>
    </row>
    <row r="156" spans="1:13" ht="24.95" customHeight="1" x14ac:dyDescent="0.25">
      <c r="A156" s="2703"/>
      <c r="B156" s="1808" t="s">
        <v>1894</v>
      </c>
      <c r="C156" s="1437"/>
      <c r="D156" s="1438"/>
      <c r="E156" s="1809" t="str">
        <f>Head5A</f>
        <v>Outcome</v>
      </c>
      <c r="F156" s="1810" t="str">
        <f>Head5A</f>
        <v>Outcome</v>
      </c>
      <c r="G156" s="1811" t="str">
        <f>Head5A</f>
        <v>Outcome</v>
      </c>
      <c r="H156" s="1812" t="str">
        <f>Head6</f>
        <v>Original Budget</v>
      </c>
      <c r="I156" s="1810" t="str">
        <f>Head7</f>
        <v>Adjusted Budget</v>
      </c>
      <c r="J156" s="1811" t="str">
        <f>Head8</f>
        <v>Full Year Forecast</v>
      </c>
      <c r="K156" s="1812" t="str">
        <f>Head9</f>
        <v>Budget Year 2016/17</v>
      </c>
      <c r="L156" s="1810" t="str">
        <f>Head10</f>
        <v>Budget Year +1 2017/18</v>
      </c>
      <c r="M156" s="1811" t="str">
        <f>Head11</f>
        <v>Budget Year +2 2018/19</v>
      </c>
    </row>
    <row r="157" spans="1:13" ht="11.25" customHeight="1" x14ac:dyDescent="0.25">
      <c r="B157" s="1813"/>
      <c r="C157" s="1814" t="s">
        <v>199</v>
      </c>
      <c r="D157" s="1845"/>
      <c r="E157" s="433"/>
      <c r="F157" s="1815"/>
      <c r="G157" s="1816"/>
      <c r="H157" s="1817"/>
      <c r="I157" s="1818"/>
      <c r="J157" s="1819"/>
      <c r="K157" s="1820"/>
      <c r="L157" s="1818"/>
      <c r="M157" s="1821"/>
    </row>
    <row r="158" spans="1:13" ht="11.25" customHeight="1" x14ac:dyDescent="0.25">
      <c r="A158" s="2322" t="s">
        <v>1987</v>
      </c>
      <c r="B158" s="1813"/>
      <c r="C158" s="1822" t="s">
        <v>1760</v>
      </c>
      <c r="D158" s="1845"/>
      <c r="E158" s="994"/>
      <c r="F158" s="990"/>
      <c r="G158" s="993"/>
      <c r="H158" s="925"/>
      <c r="I158" s="923"/>
      <c r="J158" s="926"/>
      <c r="K158" s="927"/>
      <c r="L158" s="923"/>
      <c r="M158" s="924"/>
    </row>
    <row r="159" spans="1:13" ht="11.25" customHeight="1" x14ac:dyDescent="0.25">
      <c r="B159" s="1813"/>
      <c r="C159" s="1823" t="s">
        <v>1574</v>
      </c>
      <c r="D159" s="1845"/>
      <c r="E159" s="1461"/>
      <c r="F159" s="1458"/>
      <c r="G159" s="1459"/>
      <c r="H159" s="1906"/>
      <c r="I159" s="1458"/>
      <c r="J159" s="1460"/>
      <c r="K159" s="1461"/>
      <c r="L159" s="1458"/>
      <c r="M159" s="1459"/>
    </row>
    <row r="160" spans="1:13" ht="11.25" customHeight="1" x14ac:dyDescent="0.25">
      <c r="B160" s="1813"/>
      <c r="C160" s="1823" t="s">
        <v>1759</v>
      </c>
      <c r="D160" s="1845"/>
      <c r="E160" s="1461"/>
      <c r="F160" s="1458"/>
      <c r="G160" s="1459"/>
      <c r="H160" s="1906"/>
      <c r="I160" s="1458"/>
      <c r="J160" s="1460"/>
      <c r="K160" s="1461"/>
      <c r="L160" s="1458"/>
      <c r="M160" s="1459"/>
    </row>
    <row r="161" spans="1:13" ht="11.25" customHeight="1" x14ac:dyDescent="0.25">
      <c r="B161" s="1824">
        <v>8</v>
      </c>
      <c r="C161" s="1823" t="s">
        <v>131</v>
      </c>
      <c r="D161" s="1845"/>
      <c r="E161" s="1461"/>
      <c r="F161" s="1458"/>
      <c r="G161" s="1459"/>
      <c r="H161" s="1906"/>
      <c r="I161" s="1458"/>
      <c r="J161" s="1460"/>
      <c r="K161" s="1461"/>
      <c r="L161" s="1458"/>
      <c r="M161" s="1459"/>
    </row>
    <row r="162" spans="1:13" ht="11.25" customHeight="1" x14ac:dyDescent="0.25">
      <c r="B162" s="1824">
        <v>10</v>
      </c>
      <c r="C162" s="1823" t="s">
        <v>132</v>
      </c>
      <c r="D162" s="1845"/>
      <c r="E162" s="1461"/>
      <c r="F162" s="1458"/>
      <c r="G162" s="1459"/>
      <c r="H162" s="1906"/>
      <c r="I162" s="1458"/>
      <c r="J162" s="1460"/>
      <c r="K162" s="1461"/>
      <c r="L162" s="1458"/>
      <c r="M162" s="1459"/>
    </row>
    <row r="163" spans="1:13" ht="11.25" customHeight="1" x14ac:dyDescent="0.25">
      <c r="B163" s="1824"/>
      <c r="C163" s="1825" t="s">
        <v>358</v>
      </c>
      <c r="D163" s="1845"/>
      <c r="E163" s="1911">
        <f>SUM(E159:E162)</f>
        <v>0</v>
      </c>
      <c r="F163" s="1907">
        <f t="shared" ref="F163:M163" si="49">SUM(F159:F162)</f>
        <v>0</v>
      </c>
      <c r="G163" s="1908">
        <f t="shared" si="49"/>
        <v>0</v>
      </c>
      <c r="H163" s="1909">
        <f t="shared" si="49"/>
        <v>0</v>
      </c>
      <c r="I163" s="1907">
        <f t="shared" si="49"/>
        <v>0</v>
      </c>
      <c r="J163" s="1910">
        <f t="shared" si="49"/>
        <v>0</v>
      </c>
      <c r="K163" s="1911">
        <f t="shared" si="49"/>
        <v>0</v>
      </c>
      <c r="L163" s="1907">
        <f t="shared" si="49"/>
        <v>0</v>
      </c>
      <c r="M163" s="1908">
        <f t="shared" si="49"/>
        <v>0</v>
      </c>
    </row>
    <row r="164" spans="1:13" ht="11.25" customHeight="1" x14ac:dyDescent="0.25">
      <c r="B164" s="1824">
        <v>9</v>
      </c>
      <c r="C164" s="1823" t="s">
        <v>481</v>
      </c>
      <c r="D164" s="1845"/>
      <c r="E164" s="1461"/>
      <c r="F164" s="1458"/>
      <c r="G164" s="1459"/>
      <c r="H164" s="1906"/>
      <c r="I164" s="1458"/>
      <c r="J164" s="1460"/>
      <c r="K164" s="1461"/>
      <c r="L164" s="1458"/>
      <c r="M164" s="1459"/>
    </row>
    <row r="165" spans="1:13" ht="11.25" customHeight="1" x14ac:dyDescent="0.25">
      <c r="B165" s="1824">
        <v>10</v>
      </c>
      <c r="C165" s="1823" t="s">
        <v>482</v>
      </c>
      <c r="D165" s="1845"/>
      <c r="E165" s="1461"/>
      <c r="F165" s="1458"/>
      <c r="G165" s="1459"/>
      <c r="H165" s="1906"/>
      <c r="I165" s="1458"/>
      <c r="J165" s="1460"/>
      <c r="K165" s="1461"/>
      <c r="L165" s="1458"/>
      <c r="M165" s="1459"/>
    </row>
    <row r="166" spans="1:13" ht="11.25" customHeight="1" x14ac:dyDescent="0.25">
      <c r="B166" s="1813"/>
      <c r="C166" s="1823" t="s">
        <v>926</v>
      </c>
      <c r="D166" s="1845"/>
      <c r="E166" s="1461"/>
      <c r="F166" s="1458"/>
      <c r="G166" s="1459"/>
      <c r="H166" s="1906"/>
      <c r="I166" s="1458"/>
      <c r="J166" s="1460"/>
      <c r="K166" s="1461"/>
      <c r="L166" s="1458"/>
      <c r="M166" s="1459"/>
    </row>
    <row r="167" spans="1:13" ht="11.25" customHeight="1" x14ac:dyDescent="0.25">
      <c r="B167" s="1813"/>
      <c r="C167" s="1825" t="s">
        <v>1240</v>
      </c>
      <c r="D167" s="1845"/>
      <c r="E167" s="1916">
        <f>SUM(E164:E166)</f>
        <v>0</v>
      </c>
      <c r="F167" s="1912">
        <f t="shared" ref="F167:M167" si="50">SUM(F164:F166)</f>
        <v>0</v>
      </c>
      <c r="G167" s="1913">
        <f t="shared" si="50"/>
        <v>0</v>
      </c>
      <c r="H167" s="1914">
        <f t="shared" si="50"/>
        <v>0</v>
      </c>
      <c r="I167" s="1912">
        <f t="shared" si="50"/>
        <v>0</v>
      </c>
      <c r="J167" s="1915">
        <f t="shared" si="50"/>
        <v>0</v>
      </c>
      <c r="K167" s="1916">
        <f t="shared" si="50"/>
        <v>0</v>
      </c>
      <c r="L167" s="1912">
        <f t="shared" si="50"/>
        <v>0</v>
      </c>
      <c r="M167" s="1913">
        <f t="shared" si="50"/>
        <v>0</v>
      </c>
    </row>
    <row r="168" spans="1:13" ht="11.25" customHeight="1" x14ac:dyDescent="0.25">
      <c r="B168" s="1813"/>
      <c r="C168" s="1826" t="s">
        <v>1276</v>
      </c>
      <c r="D168" s="1845"/>
      <c r="E168" s="1921">
        <f>E163+E167</f>
        <v>0</v>
      </c>
      <c r="F168" s="1917">
        <f t="shared" ref="F168:M168" si="51">F163+F167</f>
        <v>0</v>
      </c>
      <c r="G168" s="1918">
        <f t="shared" si="51"/>
        <v>0</v>
      </c>
      <c r="H168" s="1919">
        <f t="shared" si="51"/>
        <v>0</v>
      </c>
      <c r="I168" s="1917">
        <f t="shared" si="51"/>
        <v>0</v>
      </c>
      <c r="J168" s="1920">
        <f t="shared" si="51"/>
        <v>0</v>
      </c>
      <c r="K168" s="1921">
        <f t="shared" si="51"/>
        <v>0</v>
      </c>
      <c r="L168" s="1917">
        <f t="shared" si="51"/>
        <v>0</v>
      </c>
      <c r="M168" s="1918">
        <f t="shared" si="51"/>
        <v>0</v>
      </c>
    </row>
    <row r="169" spans="1:13" ht="11.25" customHeight="1" x14ac:dyDescent="0.25">
      <c r="A169" s="2322" t="s">
        <v>1987</v>
      </c>
      <c r="B169" s="1813"/>
      <c r="C169" s="1822" t="s">
        <v>1277</v>
      </c>
      <c r="D169" s="1845"/>
      <c r="E169" s="1926"/>
      <c r="F169" s="1922"/>
      <c r="G169" s="1925"/>
      <c r="H169" s="1924"/>
      <c r="I169" s="1922"/>
      <c r="J169" s="1925"/>
      <c r="K169" s="1926"/>
      <c r="L169" s="1922"/>
      <c r="M169" s="1923"/>
    </row>
    <row r="170" spans="1:13" ht="11.25" customHeight="1" x14ac:dyDescent="0.25">
      <c r="B170" s="1813"/>
      <c r="C170" s="1823" t="s">
        <v>1278</v>
      </c>
      <c r="D170" s="1845"/>
      <c r="E170" s="1461"/>
      <c r="F170" s="1458"/>
      <c r="G170" s="1459"/>
      <c r="H170" s="1906"/>
      <c r="I170" s="1458"/>
      <c r="J170" s="1460"/>
      <c r="K170" s="1461"/>
      <c r="L170" s="1458"/>
      <c r="M170" s="1459"/>
    </row>
    <row r="171" spans="1:13" ht="11.25" customHeight="1" x14ac:dyDescent="0.25">
      <c r="B171" s="1813"/>
      <c r="C171" s="1823" t="s">
        <v>1279</v>
      </c>
      <c r="D171" s="1845"/>
      <c r="E171" s="1461"/>
      <c r="F171" s="1458"/>
      <c r="G171" s="1459"/>
      <c r="H171" s="1906"/>
      <c r="I171" s="1458"/>
      <c r="J171" s="1460"/>
      <c r="K171" s="1461"/>
      <c r="L171" s="1458"/>
      <c r="M171" s="1459"/>
    </row>
    <row r="172" spans="1:13" ht="11.25" customHeight="1" x14ac:dyDescent="0.25">
      <c r="B172" s="1813"/>
      <c r="C172" s="1823" t="s">
        <v>1347</v>
      </c>
      <c r="D172" s="1845"/>
      <c r="E172" s="1461"/>
      <c r="F172" s="1458"/>
      <c r="G172" s="1459"/>
      <c r="H172" s="1906"/>
      <c r="I172" s="1458"/>
      <c r="J172" s="1460"/>
      <c r="K172" s="1461"/>
      <c r="L172" s="1458"/>
      <c r="M172" s="1459"/>
    </row>
    <row r="173" spans="1:13" ht="11.25" customHeight="1" x14ac:dyDescent="0.25">
      <c r="B173" s="1813"/>
      <c r="C173" s="1823" t="s">
        <v>240</v>
      </c>
      <c r="D173" s="1845"/>
      <c r="E173" s="1461"/>
      <c r="F173" s="1458"/>
      <c r="G173" s="1459"/>
      <c r="H173" s="1906"/>
      <c r="I173" s="1458"/>
      <c r="J173" s="1460"/>
      <c r="K173" s="1461"/>
      <c r="L173" s="1458"/>
      <c r="M173" s="1459"/>
    </row>
    <row r="174" spans="1:13" ht="11.25" customHeight="1" x14ac:dyDescent="0.25">
      <c r="B174" s="1813"/>
      <c r="C174" s="1823" t="s">
        <v>242</v>
      </c>
      <c r="D174" s="1845"/>
      <c r="E174" s="1461"/>
      <c r="F174" s="1458"/>
      <c r="G174" s="1459"/>
      <c r="H174" s="1906"/>
      <c r="I174" s="1458"/>
      <c r="J174" s="1460"/>
      <c r="K174" s="1461"/>
      <c r="L174" s="1458"/>
      <c r="M174" s="1459"/>
    </row>
    <row r="175" spans="1:13" ht="11.25" customHeight="1" x14ac:dyDescent="0.25">
      <c r="B175" s="1813"/>
      <c r="C175" s="1825" t="s">
        <v>358</v>
      </c>
      <c r="D175" s="1845"/>
      <c r="E175" s="1911">
        <f>SUM(E170:E174)</f>
        <v>0</v>
      </c>
      <c r="F175" s="1907">
        <f t="shared" ref="F175:M175" si="52">SUM(F170:F174)</f>
        <v>0</v>
      </c>
      <c r="G175" s="1908">
        <f t="shared" si="52"/>
        <v>0</v>
      </c>
      <c r="H175" s="1909">
        <f t="shared" si="52"/>
        <v>0</v>
      </c>
      <c r="I175" s="1907">
        <f t="shared" si="52"/>
        <v>0</v>
      </c>
      <c r="J175" s="1910">
        <f t="shared" si="52"/>
        <v>0</v>
      </c>
      <c r="K175" s="1911">
        <f t="shared" si="52"/>
        <v>0</v>
      </c>
      <c r="L175" s="1907">
        <f t="shared" si="52"/>
        <v>0</v>
      </c>
      <c r="M175" s="1908">
        <f t="shared" si="52"/>
        <v>0</v>
      </c>
    </row>
    <row r="176" spans="1:13" ht="11.25" customHeight="1" x14ac:dyDescent="0.25">
      <c r="B176" s="1813"/>
      <c r="C176" s="1823" t="s">
        <v>241</v>
      </c>
      <c r="D176" s="1845"/>
      <c r="E176" s="1461"/>
      <c r="F176" s="1458"/>
      <c r="G176" s="1459"/>
      <c r="H176" s="1906"/>
      <c r="I176" s="1458"/>
      <c r="J176" s="1460"/>
      <c r="K176" s="1461"/>
      <c r="L176" s="1458"/>
      <c r="M176" s="1459"/>
    </row>
    <row r="177" spans="1:13" ht="11.25" customHeight="1" x14ac:dyDescent="0.25">
      <c r="B177" s="1813"/>
      <c r="C177" s="1823" t="s">
        <v>1185</v>
      </c>
      <c r="D177" s="1845"/>
      <c r="E177" s="1461"/>
      <c r="F177" s="1458"/>
      <c r="G177" s="1459"/>
      <c r="H177" s="1906"/>
      <c r="I177" s="1458"/>
      <c r="J177" s="1460"/>
      <c r="K177" s="1461"/>
      <c r="L177" s="1458"/>
      <c r="M177" s="1459"/>
    </row>
    <row r="178" spans="1:13" ht="11.25" customHeight="1" x14ac:dyDescent="0.25">
      <c r="B178" s="1813"/>
      <c r="C178" s="1823" t="s">
        <v>1349</v>
      </c>
      <c r="D178" s="1845"/>
      <c r="E178" s="1461"/>
      <c r="F178" s="1458"/>
      <c r="G178" s="1459"/>
      <c r="H178" s="1906"/>
      <c r="I178" s="1458"/>
      <c r="J178" s="1460"/>
      <c r="K178" s="1461"/>
      <c r="L178" s="1458"/>
      <c r="M178" s="1459"/>
    </row>
    <row r="179" spans="1:13" ht="11.25" customHeight="1" x14ac:dyDescent="0.25">
      <c r="B179" s="1813"/>
      <c r="C179" s="1825" t="s">
        <v>1240</v>
      </c>
      <c r="D179" s="1845"/>
      <c r="E179" s="1916">
        <f>SUM(E176:E178)</f>
        <v>0</v>
      </c>
      <c r="F179" s="1912">
        <f t="shared" ref="F179:M179" si="53">SUM(F176:F178)</f>
        <v>0</v>
      </c>
      <c r="G179" s="1913">
        <f t="shared" si="53"/>
        <v>0</v>
      </c>
      <c r="H179" s="1914">
        <f t="shared" si="53"/>
        <v>0</v>
      </c>
      <c r="I179" s="1912">
        <f t="shared" si="53"/>
        <v>0</v>
      </c>
      <c r="J179" s="1915">
        <f t="shared" si="53"/>
        <v>0</v>
      </c>
      <c r="K179" s="1916">
        <f t="shared" si="53"/>
        <v>0</v>
      </c>
      <c r="L179" s="1912">
        <f t="shared" si="53"/>
        <v>0</v>
      </c>
      <c r="M179" s="1913">
        <f t="shared" si="53"/>
        <v>0</v>
      </c>
    </row>
    <row r="180" spans="1:13" ht="11.25" customHeight="1" x14ac:dyDescent="0.25">
      <c r="B180" s="1813"/>
      <c r="C180" s="1826" t="s">
        <v>1276</v>
      </c>
      <c r="D180" s="1845"/>
      <c r="E180" s="1921">
        <f>E175+E179</f>
        <v>0</v>
      </c>
      <c r="F180" s="1917">
        <f t="shared" ref="F180:M180" si="54">F175+F179</f>
        <v>0</v>
      </c>
      <c r="G180" s="1918">
        <f t="shared" si="54"/>
        <v>0</v>
      </c>
      <c r="H180" s="1919">
        <f t="shared" si="54"/>
        <v>0</v>
      </c>
      <c r="I180" s="1917">
        <f t="shared" si="54"/>
        <v>0</v>
      </c>
      <c r="J180" s="1920">
        <f t="shared" si="54"/>
        <v>0</v>
      </c>
      <c r="K180" s="1921">
        <f t="shared" si="54"/>
        <v>0</v>
      </c>
      <c r="L180" s="1917">
        <f t="shared" si="54"/>
        <v>0</v>
      </c>
      <c r="M180" s="1918">
        <f t="shared" si="54"/>
        <v>0</v>
      </c>
    </row>
    <row r="181" spans="1:13" ht="11.25" customHeight="1" x14ac:dyDescent="0.25">
      <c r="A181" s="2322" t="s">
        <v>1987</v>
      </c>
      <c r="B181" s="1813"/>
      <c r="C181" s="1822" t="s">
        <v>646</v>
      </c>
      <c r="D181" s="1845"/>
      <c r="E181" s="1926"/>
      <c r="F181" s="1922"/>
      <c r="G181" s="1925"/>
      <c r="H181" s="1924"/>
      <c r="I181" s="1922"/>
      <c r="J181" s="1925"/>
      <c r="K181" s="1926"/>
      <c r="L181" s="1922"/>
      <c r="M181" s="1923"/>
    </row>
    <row r="182" spans="1:13" ht="11.25" customHeight="1" x14ac:dyDescent="0.25">
      <c r="B182" s="1813"/>
      <c r="C182" s="1823" t="s">
        <v>1186</v>
      </c>
      <c r="D182" s="1845"/>
      <c r="E182" s="1461"/>
      <c r="F182" s="1458"/>
      <c r="G182" s="1459"/>
      <c r="H182" s="1906"/>
      <c r="I182" s="1458"/>
      <c r="J182" s="1460"/>
      <c r="K182" s="1461"/>
      <c r="L182" s="1458"/>
      <c r="M182" s="1459"/>
    </row>
    <row r="183" spans="1:13" ht="11.25" customHeight="1" x14ac:dyDescent="0.25">
      <c r="B183" s="1813"/>
      <c r="C183" s="1823" t="s">
        <v>483</v>
      </c>
      <c r="D183" s="1845"/>
      <c r="E183" s="1461"/>
      <c r="F183" s="1458"/>
      <c r="G183" s="1459"/>
      <c r="H183" s="1906"/>
      <c r="I183" s="1458"/>
      <c r="J183" s="1460"/>
      <c r="K183" s="1461"/>
      <c r="L183" s="1458"/>
      <c r="M183" s="1459"/>
    </row>
    <row r="184" spans="1:13" ht="11.25" customHeight="1" x14ac:dyDescent="0.25">
      <c r="B184" s="1813"/>
      <c r="C184" s="1825" t="s">
        <v>358</v>
      </c>
      <c r="D184" s="1845"/>
      <c r="E184" s="1911">
        <f>SUM(E182:E183)</f>
        <v>0</v>
      </c>
      <c r="F184" s="1907">
        <f t="shared" ref="F184:M184" si="55">SUM(F182:F183)</f>
        <v>0</v>
      </c>
      <c r="G184" s="1908">
        <f t="shared" si="55"/>
        <v>0</v>
      </c>
      <c r="H184" s="1909">
        <f t="shared" si="55"/>
        <v>0</v>
      </c>
      <c r="I184" s="1907">
        <f t="shared" si="55"/>
        <v>0</v>
      </c>
      <c r="J184" s="1910">
        <f t="shared" si="55"/>
        <v>0</v>
      </c>
      <c r="K184" s="1911">
        <f t="shared" si="55"/>
        <v>0</v>
      </c>
      <c r="L184" s="1907">
        <f t="shared" si="55"/>
        <v>0</v>
      </c>
      <c r="M184" s="1908">
        <f t="shared" si="55"/>
        <v>0</v>
      </c>
    </row>
    <row r="185" spans="1:13" ht="11.25" customHeight="1" x14ac:dyDescent="0.25">
      <c r="B185" s="1813"/>
      <c r="C185" s="1823" t="s">
        <v>484</v>
      </c>
      <c r="D185" s="1845"/>
      <c r="E185" s="1461"/>
      <c r="F185" s="1458"/>
      <c r="G185" s="1459"/>
      <c r="H185" s="1906"/>
      <c r="I185" s="1458"/>
      <c r="J185" s="1460"/>
      <c r="K185" s="1461"/>
      <c r="L185" s="1458"/>
      <c r="M185" s="1459"/>
    </row>
    <row r="186" spans="1:13" ht="11.25" customHeight="1" x14ac:dyDescent="0.25">
      <c r="B186" s="1813"/>
      <c r="C186" s="1823" t="s">
        <v>485</v>
      </c>
      <c r="D186" s="1845"/>
      <c r="E186" s="1461"/>
      <c r="F186" s="1458"/>
      <c r="G186" s="1459"/>
      <c r="H186" s="1906"/>
      <c r="I186" s="1458"/>
      <c r="J186" s="1460"/>
      <c r="K186" s="1461"/>
      <c r="L186" s="1458"/>
      <c r="M186" s="1459"/>
    </row>
    <row r="187" spans="1:13" ht="11.25" customHeight="1" x14ac:dyDescent="0.25">
      <c r="B187" s="1813"/>
      <c r="C187" s="1823" t="s">
        <v>647</v>
      </c>
      <c r="D187" s="1845"/>
      <c r="E187" s="1461"/>
      <c r="F187" s="1458"/>
      <c r="G187" s="1459"/>
      <c r="H187" s="1906"/>
      <c r="I187" s="1458"/>
      <c r="J187" s="1460"/>
      <c r="K187" s="1461"/>
      <c r="L187" s="1458"/>
      <c r="M187" s="1459"/>
    </row>
    <row r="188" spans="1:13" ht="11.25" customHeight="1" x14ac:dyDescent="0.25">
      <c r="B188" s="1813"/>
      <c r="C188" s="1825" t="s">
        <v>1240</v>
      </c>
      <c r="D188" s="1845"/>
      <c r="E188" s="1916">
        <f>SUM(E185:E187)</f>
        <v>0</v>
      </c>
      <c r="F188" s="1912">
        <f t="shared" ref="F188:M188" si="56">SUM(F185:F187)</f>
        <v>0</v>
      </c>
      <c r="G188" s="1913">
        <f t="shared" si="56"/>
        <v>0</v>
      </c>
      <c r="H188" s="1914">
        <f t="shared" si="56"/>
        <v>0</v>
      </c>
      <c r="I188" s="1912">
        <f t="shared" si="56"/>
        <v>0</v>
      </c>
      <c r="J188" s="1915">
        <f t="shared" si="56"/>
        <v>0</v>
      </c>
      <c r="K188" s="1916">
        <f t="shared" si="56"/>
        <v>0</v>
      </c>
      <c r="L188" s="1912">
        <f t="shared" si="56"/>
        <v>0</v>
      </c>
      <c r="M188" s="1913">
        <f t="shared" si="56"/>
        <v>0</v>
      </c>
    </row>
    <row r="189" spans="1:13" ht="11.25" customHeight="1" x14ac:dyDescent="0.25">
      <c r="B189" s="1813"/>
      <c r="C189" s="1826" t="s">
        <v>1276</v>
      </c>
      <c r="D189" s="1845"/>
      <c r="E189" s="1921">
        <f>E184+E188</f>
        <v>0</v>
      </c>
      <c r="F189" s="1917">
        <f t="shared" ref="F189:M189" si="57">F184+F188</f>
        <v>0</v>
      </c>
      <c r="G189" s="1918">
        <f t="shared" si="57"/>
        <v>0</v>
      </c>
      <c r="H189" s="1919">
        <f t="shared" si="57"/>
        <v>0</v>
      </c>
      <c r="I189" s="1917">
        <f t="shared" si="57"/>
        <v>0</v>
      </c>
      <c r="J189" s="1920">
        <f t="shared" si="57"/>
        <v>0</v>
      </c>
      <c r="K189" s="1921">
        <f t="shared" si="57"/>
        <v>0</v>
      </c>
      <c r="L189" s="1917">
        <f t="shared" si="57"/>
        <v>0</v>
      </c>
      <c r="M189" s="1918">
        <f t="shared" si="57"/>
        <v>0</v>
      </c>
    </row>
    <row r="190" spans="1:13" ht="11.25" customHeight="1" x14ac:dyDescent="0.25">
      <c r="A190" s="2322" t="s">
        <v>1987</v>
      </c>
      <c r="B190" s="1813"/>
      <c r="C190" s="1822" t="s">
        <v>650</v>
      </c>
      <c r="D190" s="1845"/>
      <c r="E190" s="1926"/>
      <c r="F190" s="1922"/>
      <c r="G190" s="1925"/>
      <c r="H190" s="1924"/>
      <c r="I190" s="1922"/>
      <c r="J190" s="1925"/>
      <c r="K190" s="1926"/>
      <c r="L190" s="1922"/>
      <c r="M190" s="1923"/>
    </row>
    <row r="191" spans="1:13" ht="11.25" customHeight="1" x14ac:dyDescent="0.25">
      <c r="B191" s="1813"/>
      <c r="C191" s="1823" t="s">
        <v>700</v>
      </c>
      <c r="D191" s="1845"/>
      <c r="E191" s="1464"/>
      <c r="F191" s="1462"/>
      <c r="G191" s="1463"/>
      <c r="H191" s="1927"/>
      <c r="I191" s="1462"/>
      <c r="J191" s="1928"/>
      <c r="K191" s="1464"/>
      <c r="L191" s="1462"/>
      <c r="M191" s="1463"/>
    </row>
    <row r="192" spans="1:13" ht="11.25" customHeight="1" x14ac:dyDescent="0.25">
      <c r="B192" s="1813"/>
      <c r="C192" s="1825" t="s">
        <v>358</v>
      </c>
      <c r="D192" s="1845"/>
      <c r="E192" s="1926">
        <f>SUM(E191)</f>
        <v>0</v>
      </c>
      <c r="F192" s="1922">
        <f t="shared" ref="F192:M192" si="58">SUM(F191)</f>
        <v>0</v>
      </c>
      <c r="G192" s="1923">
        <f t="shared" si="58"/>
        <v>0</v>
      </c>
      <c r="H192" s="1924">
        <f t="shared" si="58"/>
        <v>0</v>
      </c>
      <c r="I192" s="1922">
        <f t="shared" si="58"/>
        <v>0</v>
      </c>
      <c r="J192" s="1925">
        <f t="shared" si="58"/>
        <v>0</v>
      </c>
      <c r="K192" s="1926">
        <f t="shared" si="58"/>
        <v>0</v>
      </c>
      <c r="L192" s="1922">
        <f t="shared" si="58"/>
        <v>0</v>
      </c>
      <c r="M192" s="1923">
        <f t="shared" si="58"/>
        <v>0</v>
      </c>
    </row>
    <row r="193" spans="1:13" ht="11.25" customHeight="1" x14ac:dyDescent="0.25">
      <c r="B193" s="1813"/>
      <c r="C193" s="1823" t="s">
        <v>651</v>
      </c>
      <c r="D193" s="1845"/>
      <c r="E193" s="1461"/>
      <c r="F193" s="1458"/>
      <c r="G193" s="1459"/>
      <c r="H193" s="1906"/>
      <c r="I193" s="1458"/>
      <c r="J193" s="1460"/>
      <c r="K193" s="1461"/>
      <c r="L193" s="1458"/>
      <c r="M193" s="1459"/>
    </row>
    <row r="194" spans="1:13" ht="11.25" customHeight="1" x14ac:dyDescent="0.25">
      <c r="B194" s="1813"/>
      <c r="C194" s="1823" t="s">
        <v>652</v>
      </c>
      <c r="D194" s="1845"/>
      <c r="E194" s="1461"/>
      <c r="F194" s="1458"/>
      <c r="G194" s="1459"/>
      <c r="H194" s="1906"/>
      <c r="I194" s="1458"/>
      <c r="J194" s="1460"/>
      <c r="K194" s="1461"/>
      <c r="L194" s="1458"/>
      <c r="M194" s="1459"/>
    </row>
    <row r="195" spans="1:13" ht="11.25" customHeight="1" x14ac:dyDescent="0.25">
      <c r="B195" s="1813"/>
      <c r="C195" s="1823" t="s">
        <v>837</v>
      </c>
      <c r="D195" s="1845"/>
      <c r="E195" s="1461"/>
      <c r="F195" s="1458"/>
      <c r="G195" s="1459"/>
      <c r="H195" s="1906"/>
      <c r="I195" s="1458"/>
      <c r="J195" s="1460"/>
      <c r="K195" s="1461"/>
      <c r="L195" s="1458"/>
      <c r="M195" s="1459"/>
    </row>
    <row r="196" spans="1:13" ht="11.25" customHeight="1" x14ac:dyDescent="0.25">
      <c r="B196" s="1813"/>
      <c r="C196" s="1823" t="s">
        <v>838</v>
      </c>
      <c r="D196" s="1845"/>
      <c r="E196" s="1461"/>
      <c r="F196" s="1458"/>
      <c r="G196" s="1459"/>
      <c r="H196" s="1906"/>
      <c r="I196" s="1458"/>
      <c r="J196" s="1460"/>
      <c r="K196" s="1461"/>
      <c r="L196" s="1458"/>
      <c r="M196" s="1459"/>
    </row>
    <row r="197" spans="1:13" ht="11.25" customHeight="1" x14ac:dyDescent="0.25">
      <c r="B197" s="1813"/>
      <c r="C197" s="1823" t="s">
        <v>197</v>
      </c>
      <c r="D197" s="1845"/>
      <c r="E197" s="1461"/>
      <c r="F197" s="1458"/>
      <c r="G197" s="1459"/>
      <c r="H197" s="1906"/>
      <c r="I197" s="1458"/>
      <c r="J197" s="1460"/>
      <c r="K197" s="1461"/>
      <c r="L197" s="1458"/>
      <c r="M197" s="1459"/>
    </row>
    <row r="198" spans="1:13" ht="11.25" customHeight="1" x14ac:dyDescent="0.25">
      <c r="B198" s="1813"/>
      <c r="C198" s="1825" t="s">
        <v>1240</v>
      </c>
      <c r="D198" s="1845"/>
      <c r="E198" s="1916">
        <f t="shared" ref="E198:M198" si="59">SUM(E193:E197)</f>
        <v>0</v>
      </c>
      <c r="F198" s="1912">
        <f t="shared" si="59"/>
        <v>0</v>
      </c>
      <c r="G198" s="1913">
        <f t="shared" si="59"/>
        <v>0</v>
      </c>
      <c r="H198" s="1914">
        <f t="shared" si="59"/>
        <v>0</v>
      </c>
      <c r="I198" s="1912">
        <f t="shared" si="59"/>
        <v>0</v>
      </c>
      <c r="J198" s="1915">
        <f t="shared" si="59"/>
        <v>0</v>
      </c>
      <c r="K198" s="1916">
        <f t="shared" si="59"/>
        <v>0</v>
      </c>
      <c r="L198" s="1912">
        <f t="shared" si="59"/>
        <v>0</v>
      </c>
      <c r="M198" s="1913">
        <f t="shared" si="59"/>
        <v>0</v>
      </c>
    </row>
    <row r="199" spans="1:13" ht="11.25" customHeight="1" x14ac:dyDescent="0.25">
      <c r="B199" s="1813"/>
      <c r="C199" s="1826" t="s">
        <v>1276</v>
      </c>
      <c r="D199" s="1845"/>
      <c r="E199" s="1921">
        <f>E192+E198</f>
        <v>0</v>
      </c>
      <c r="F199" s="1917">
        <f t="shared" ref="F199:M199" si="60">F192+F198</f>
        <v>0</v>
      </c>
      <c r="G199" s="1918">
        <f t="shared" si="60"/>
        <v>0</v>
      </c>
      <c r="H199" s="1919">
        <f t="shared" si="60"/>
        <v>0</v>
      </c>
      <c r="I199" s="1917">
        <f t="shared" si="60"/>
        <v>0</v>
      </c>
      <c r="J199" s="1920">
        <f t="shared" si="60"/>
        <v>0</v>
      </c>
      <c r="K199" s="1921">
        <f t="shared" si="60"/>
        <v>0</v>
      </c>
      <c r="L199" s="1917">
        <f t="shared" si="60"/>
        <v>0</v>
      </c>
      <c r="M199" s="1918">
        <f t="shared" si="60"/>
        <v>0</v>
      </c>
    </row>
    <row r="200" spans="1:13" ht="5.0999999999999996" customHeight="1" x14ac:dyDescent="0.25">
      <c r="B200" s="1813"/>
      <c r="C200" s="1827"/>
      <c r="D200" s="1846"/>
      <c r="E200" s="1006"/>
      <c r="F200" s="1002"/>
      <c r="G200" s="1003"/>
      <c r="H200" s="1004"/>
      <c r="I200" s="1002"/>
      <c r="J200" s="1005"/>
      <c r="K200" s="1006"/>
      <c r="L200" s="1002"/>
      <c r="M200" s="1003"/>
    </row>
    <row r="201" spans="1:13" ht="24.95" customHeight="1" x14ac:dyDescent="0.25">
      <c r="A201" s="2703" t="s">
        <v>1988</v>
      </c>
      <c r="B201" s="1804"/>
      <c r="C201" s="1805"/>
      <c r="D201" s="1806"/>
      <c r="E201" s="1807" t="str">
        <f>head1b</f>
        <v>2012/13</v>
      </c>
      <c r="F201" s="983" t="str">
        <f>head1A</f>
        <v>2013/14</v>
      </c>
      <c r="G201" s="984" t="str">
        <f>Head1</f>
        <v>2014/15</v>
      </c>
      <c r="H201" s="2661" t="str">
        <f>Head2</f>
        <v>Current Year 2015/16</v>
      </c>
      <c r="I201" s="2662"/>
      <c r="J201" s="2663"/>
      <c r="K201" s="2661" t="str">
        <f>Head3</f>
        <v>2016/17 Medium Term Revenue &amp; Expenditure Framework</v>
      </c>
      <c r="L201" s="2662"/>
      <c r="M201" s="2663"/>
    </row>
    <row r="202" spans="1:13" ht="24.95" customHeight="1" x14ac:dyDescent="0.25">
      <c r="A202" s="2703"/>
      <c r="B202" s="1808" t="s">
        <v>1894</v>
      </c>
      <c r="C202" s="1437"/>
      <c r="D202" s="1438"/>
      <c r="E202" s="1809" t="str">
        <f>Head5A</f>
        <v>Outcome</v>
      </c>
      <c r="F202" s="1810" t="str">
        <f>Head5A</f>
        <v>Outcome</v>
      </c>
      <c r="G202" s="1811" t="str">
        <f>Head5A</f>
        <v>Outcome</v>
      </c>
      <c r="H202" s="1812" t="str">
        <f>Head6</f>
        <v>Original Budget</v>
      </c>
      <c r="I202" s="1810" t="str">
        <f>Head7</f>
        <v>Adjusted Budget</v>
      </c>
      <c r="J202" s="1811" t="str">
        <f>Head8</f>
        <v>Full Year Forecast</v>
      </c>
      <c r="K202" s="1812" t="str">
        <f>Head9</f>
        <v>Budget Year 2016/17</v>
      </c>
      <c r="L202" s="1810" t="str">
        <f>Head10</f>
        <v>Budget Year +1 2017/18</v>
      </c>
      <c r="M202" s="1811" t="str">
        <f>Head11</f>
        <v>Budget Year +2 2018/19</v>
      </c>
    </row>
    <row r="203" spans="1:13" ht="11.25" customHeight="1" x14ac:dyDescent="0.25">
      <c r="A203" s="1828" t="s">
        <v>1989</v>
      </c>
      <c r="B203" s="1813"/>
      <c r="C203" s="1814" t="s">
        <v>199</v>
      </c>
      <c r="D203" s="1845"/>
      <c r="E203" s="433"/>
      <c r="F203" s="1815"/>
      <c r="G203" s="1816"/>
      <c r="H203" s="1817"/>
      <c r="I203" s="1818"/>
      <c r="J203" s="1819"/>
      <c r="K203" s="1820"/>
      <c r="L203" s="1818"/>
      <c r="M203" s="1821"/>
    </row>
    <row r="204" spans="1:13" ht="11.25" customHeight="1" x14ac:dyDescent="0.25">
      <c r="A204" s="1457"/>
      <c r="B204" s="1813"/>
      <c r="C204" s="1822" t="s">
        <v>1760</v>
      </c>
      <c r="D204" s="1845"/>
      <c r="E204" s="994"/>
      <c r="F204" s="990"/>
      <c r="G204" s="993"/>
      <c r="H204" s="925"/>
      <c r="I204" s="923"/>
      <c r="J204" s="926"/>
      <c r="K204" s="927"/>
      <c r="L204" s="923"/>
      <c r="M204" s="924"/>
    </row>
    <row r="205" spans="1:13" ht="11.25" customHeight="1" x14ac:dyDescent="0.25">
      <c r="A205" s="1457"/>
      <c r="B205" s="1813"/>
      <c r="C205" s="1823" t="s">
        <v>1574</v>
      </c>
      <c r="D205" s="1845"/>
      <c r="E205" s="1461"/>
      <c r="F205" s="1458"/>
      <c r="G205" s="1459"/>
      <c r="H205" s="1906"/>
      <c r="I205" s="1458"/>
      <c r="J205" s="1460"/>
      <c r="K205" s="1461"/>
      <c r="L205" s="1458"/>
      <c r="M205" s="1459"/>
    </row>
    <row r="206" spans="1:13" ht="11.25" customHeight="1" x14ac:dyDescent="0.25">
      <c r="A206" s="1457"/>
      <c r="B206" s="1813"/>
      <c r="C206" s="1823" t="s">
        <v>1759</v>
      </c>
      <c r="D206" s="1845"/>
      <c r="E206" s="1461"/>
      <c r="F206" s="1458"/>
      <c r="G206" s="1459"/>
      <c r="H206" s="1906"/>
      <c r="I206" s="1458"/>
      <c r="J206" s="1460"/>
      <c r="K206" s="1461"/>
      <c r="L206" s="1458"/>
      <c r="M206" s="1459"/>
    </row>
    <row r="207" spans="1:13" ht="11.25" customHeight="1" x14ac:dyDescent="0.25">
      <c r="A207" s="1457"/>
      <c r="B207" s="1824">
        <v>8</v>
      </c>
      <c r="C207" s="1823" t="s">
        <v>131</v>
      </c>
      <c r="D207" s="1845"/>
      <c r="E207" s="1461"/>
      <c r="F207" s="1458"/>
      <c r="G207" s="1459"/>
      <c r="H207" s="1906"/>
      <c r="I207" s="1458"/>
      <c r="J207" s="1460"/>
      <c r="K207" s="1461"/>
      <c r="L207" s="1458"/>
      <c r="M207" s="1459"/>
    </row>
    <row r="208" spans="1:13" ht="11.25" customHeight="1" x14ac:dyDescent="0.25">
      <c r="A208" s="1457"/>
      <c r="B208" s="1824">
        <v>10</v>
      </c>
      <c r="C208" s="1823" t="s">
        <v>132</v>
      </c>
      <c r="D208" s="1845"/>
      <c r="E208" s="1461"/>
      <c r="F208" s="1458"/>
      <c r="G208" s="1459"/>
      <c r="H208" s="1906"/>
      <c r="I208" s="1458"/>
      <c r="J208" s="1460"/>
      <c r="K208" s="1461"/>
      <c r="L208" s="1458"/>
      <c r="M208" s="1459"/>
    </row>
    <row r="209" spans="1:13" ht="11.25" customHeight="1" x14ac:dyDescent="0.25">
      <c r="A209" s="1457"/>
      <c r="B209" s="1824"/>
      <c r="C209" s="1825" t="s">
        <v>358</v>
      </c>
      <c r="D209" s="1845"/>
      <c r="E209" s="1911">
        <f>SUM(E205:E208)</f>
        <v>0</v>
      </c>
      <c r="F209" s="1907">
        <f t="shared" ref="F209:M209" si="61">SUM(F205:F208)</f>
        <v>0</v>
      </c>
      <c r="G209" s="1908">
        <f t="shared" si="61"/>
        <v>0</v>
      </c>
      <c r="H209" s="1909">
        <f t="shared" si="61"/>
        <v>0</v>
      </c>
      <c r="I209" s="1907">
        <f t="shared" si="61"/>
        <v>0</v>
      </c>
      <c r="J209" s="1910">
        <f t="shared" si="61"/>
        <v>0</v>
      </c>
      <c r="K209" s="1911">
        <f t="shared" si="61"/>
        <v>0</v>
      </c>
      <c r="L209" s="1907">
        <f t="shared" si="61"/>
        <v>0</v>
      </c>
      <c r="M209" s="1908">
        <f t="shared" si="61"/>
        <v>0</v>
      </c>
    </row>
    <row r="210" spans="1:13" ht="11.25" customHeight="1" x14ac:dyDescent="0.25">
      <c r="A210" s="1457"/>
      <c r="B210" s="1824">
        <v>9</v>
      </c>
      <c r="C210" s="1823" t="s">
        <v>481</v>
      </c>
      <c r="D210" s="1845"/>
      <c r="E210" s="1461"/>
      <c r="F210" s="1458"/>
      <c r="G210" s="1459"/>
      <c r="H210" s="1906"/>
      <c r="I210" s="1458"/>
      <c r="J210" s="1460"/>
      <c r="K210" s="1461"/>
      <c r="L210" s="1458"/>
      <c r="M210" s="1459"/>
    </row>
    <row r="211" spans="1:13" ht="11.25" customHeight="1" x14ac:dyDescent="0.25">
      <c r="A211" s="1457"/>
      <c r="B211" s="1824">
        <v>10</v>
      </c>
      <c r="C211" s="1823" t="s">
        <v>482</v>
      </c>
      <c r="D211" s="1845"/>
      <c r="E211" s="1461"/>
      <c r="F211" s="1458"/>
      <c r="G211" s="1459"/>
      <c r="H211" s="1906"/>
      <c r="I211" s="1458"/>
      <c r="J211" s="1460"/>
      <c r="K211" s="1461"/>
      <c r="L211" s="1458"/>
      <c r="M211" s="1459"/>
    </row>
    <row r="212" spans="1:13" ht="11.25" customHeight="1" x14ac:dyDescent="0.25">
      <c r="A212" s="1457"/>
      <c r="B212" s="1813"/>
      <c r="C212" s="1823" t="s">
        <v>926</v>
      </c>
      <c r="D212" s="1845"/>
      <c r="E212" s="1461"/>
      <c r="F212" s="1458"/>
      <c r="G212" s="1459"/>
      <c r="H212" s="1906"/>
      <c r="I212" s="1458"/>
      <c r="J212" s="1460"/>
      <c r="K212" s="1461"/>
      <c r="L212" s="1458"/>
      <c r="M212" s="1459"/>
    </row>
    <row r="213" spans="1:13" ht="11.25" customHeight="1" x14ac:dyDescent="0.25">
      <c r="A213" s="1457"/>
      <c r="B213" s="1813"/>
      <c r="C213" s="1825" t="s">
        <v>1240</v>
      </c>
      <c r="D213" s="1845"/>
      <c r="E213" s="1916">
        <f>SUM(E210:E212)</f>
        <v>0</v>
      </c>
      <c r="F213" s="1912">
        <f t="shared" ref="F213:M213" si="62">SUM(F210:F212)</f>
        <v>0</v>
      </c>
      <c r="G213" s="1913">
        <f t="shared" si="62"/>
        <v>0</v>
      </c>
      <c r="H213" s="1914">
        <f t="shared" si="62"/>
        <v>0</v>
      </c>
      <c r="I213" s="1912">
        <f t="shared" si="62"/>
        <v>0</v>
      </c>
      <c r="J213" s="1915">
        <f t="shared" si="62"/>
        <v>0</v>
      </c>
      <c r="K213" s="1916">
        <f t="shared" si="62"/>
        <v>0</v>
      </c>
      <c r="L213" s="1912">
        <f t="shared" si="62"/>
        <v>0</v>
      </c>
      <c r="M213" s="1913">
        <f t="shared" si="62"/>
        <v>0</v>
      </c>
    </row>
    <row r="214" spans="1:13" ht="11.25" customHeight="1" x14ac:dyDescent="0.25">
      <c r="B214" s="1813"/>
      <c r="C214" s="1826" t="s">
        <v>1276</v>
      </c>
      <c r="D214" s="1845"/>
      <c r="E214" s="1921">
        <f>E209+E213</f>
        <v>0</v>
      </c>
      <c r="F214" s="1917">
        <f t="shared" ref="F214:M214" si="63">F209+F213</f>
        <v>0</v>
      </c>
      <c r="G214" s="1918">
        <f t="shared" si="63"/>
        <v>0</v>
      </c>
      <c r="H214" s="1919">
        <f t="shared" si="63"/>
        <v>0</v>
      </c>
      <c r="I214" s="1917">
        <f t="shared" si="63"/>
        <v>0</v>
      </c>
      <c r="J214" s="1920">
        <f t="shared" si="63"/>
        <v>0</v>
      </c>
      <c r="K214" s="1921">
        <f t="shared" si="63"/>
        <v>0</v>
      </c>
      <c r="L214" s="1917">
        <f t="shared" si="63"/>
        <v>0</v>
      </c>
      <c r="M214" s="1918">
        <f t="shared" si="63"/>
        <v>0</v>
      </c>
    </row>
    <row r="215" spans="1:13" ht="11.25" customHeight="1" x14ac:dyDescent="0.25">
      <c r="A215" s="1828" t="s">
        <v>1989</v>
      </c>
      <c r="B215" s="1813"/>
      <c r="C215" s="1822" t="s">
        <v>1277</v>
      </c>
      <c r="D215" s="1845"/>
      <c r="E215" s="1926"/>
      <c r="F215" s="1922"/>
      <c r="G215" s="1925"/>
      <c r="H215" s="1924"/>
      <c r="I215" s="1922"/>
      <c r="J215" s="1925"/>
      <c r="K215" s="1926"/>
      <c r="L215" s="1922"/>
      <c r="M215" s="1923"/>
    </row>
    <row r="216" spans="1:13" ht="11.25" customHeight="1" x14ac:dyDescent="0.25">
      <c r="A216" s="1457"/>
      <c r="B216" s="1813"/>
      <c r="C216" s="1823" t="s">
        <v>1278</v>
      </c>
      <c r="D216" s="1845"/>
      <c r="E216" s="1461"/>
      <c r="F216" s="1458"/>
      <c r="G216" s="1459"/>
      <c r="H216" s="1906"/>
      <c r="I216" s="1458"/>
      <c r="J216" s="1460"/>
      <c r="K216" s="1461"/>
      <c r="L216" s="1458"/>
      <c r="M216" s="1459"/>
    </row>
    <row r="217" spans="1:13" ht="11.25" customHeight="1" x14ac:dyDescent="0.25">
      <c r="A217" s="1457"/>
      <c r="B217" s="1813"/>
      <c r="C217" s="1823" t="s">
        <v>1279</v>
      </c>
      <c r="D217" s="1845"/>
      <c r="E217" s="1461"/>
      <c r="F217" s="1458"/>
      <c r="G217" s="1459"/>
      <c r="H217" s="1906"/>
      <c r="I217" s="1458"/>
      <c r="J217" s="1460"/>
      <c r="K217" s="1461"/>
      <c r="L217" s="1458"/>
      <c r="M217" s="1459"/>
    </row>
    <row r="218" spans="1:13" ht="11.25" customHeight="1" x14ac:dyDescent="0.25">
      <c r="A218" s="1457"/>
      <c r="B218" s="1813"/>
      <c r="C218" s="1823" t="s">
        <v>1347</v>
      </c>
      <c r="D218" s="1845"/>
      <c r="E218" s="1461"/>
      <c r="F218" s="1458"/>
      <c r="G218" s="1459"/>
      <c r="H218" s="1906"/>
      <c r="I218" s="1458"/>
      <c r="J218" s="1460"/>
      <c r="K218" s="1461"/>
      <c r="L218" s="1458"/>
      <c r="M218" s="1459"/>
    </row>
    <row r="219" spans="1:13" ht="11.25" customHeight="1" x14ac:dyDescent="0.25">
      <c r="A219" s="1457"/>
      <c r="B219" s="1813"/>
      <c r="C219" s="1823" t="s">
        <v>240</v>
      </c>
      <c r="D219" s="1845"/>
      <c r="E219" s="1461"/>
      <c r="F219" s="1458"/>
      <c r="G219" s="1459"/>
      <c r="H219" s="1906"/>
      <c r="I219" s="1458"/>
      <c r="J219" s="1460"/>
      <c r="K219" s="1461"/>
      <c r="L219" s="1458"/>
      <c r="M219" s="1459"/>
    </row>
    <row r="220" spans="1:13" ht="11.25" customHeight="1" x14ac:dyDescent="0.25">
      <c r="A220" s="1457"/>
      <c r="B220" s="1813"/>
      <c r="C220" s="1823" t="s">
        <v>242</v>
      </c>
      <c r="D220" s="1845"/>
      <c r="E220" s="1461"/>
      <c r="F220" s="1458"/>
      <c r="G220" s="1459"/>
      <c r="H220" s="1906"/>
      <c r="I220" s="1458"/>
      <c r="J220" s="1460"/>
      <c r="K220" s="1461"/>
      <c r="L220" s="1458"/>
      <c r="M220" s="1459"/>
    </row>
    <row r="221" spans="1:13" ht="11.25" customHeight="1" x14ac:dyDescent="0.25">
      <c r="A221" s="1457"/>
      <c r="B221" s="1813"/>
      <c r="C221" s="1825" t="s">
        <v>358</v>
      </c>
      <c r="D221" s="1845"/>
      <c r="E221" s="1911">
        <f>SUM(E216:E220)</f>
        <v>0</v>
      </c>
      <c r="F221" s="1907">
        <f t="shared" ref="F221:M221" si="64">SUM(F216:F220)</f>
        <v>0</v>
      </c>
      <c r="G221" s="1908">
        <f t="shared" si="64"/>
        <v>0</v>
      </c>
      <c r="H221" s="1909">
        <f t="shared" si="64"/>
        <v>0</v>
      </c>
      <c r="I221" s="1907">
        <f t="shared" si="64"/>
        <v>0</v>
      </c>
      <c r="J221" s="1910">
        <f t="shared" si="64"/>
        <v>0</v>
      </c>
      <c r="K221" s="1911">
        <f t="shared" si="64"/>
        <v>0</v>
      </c>
      <c r="L221" s="1907">
        <f t="shared" si="64"/>
        <v>0</v>
      </c>
      <c r="M221" s="1908">
        <f t="shared" si="64"/>
        <v>0</v>
      </c>
    </row>
    <row r="222" spans="1:13" ht="11.25" customHeight="1" x14ac:dyDescent="0.25">
      <c r="A222" s="1457"/>
      <c r="B222" s="1813"/>
      <c r="C222" s="1823" t="s">
        <v>241</v>
      </c>
      <c r="D222" s="1845"/>
      <c r="E222" s="1461"/>
      <c r="F222" s="1458"/>
      <c r="G222" s="1459"/>
      <c r="H222" s="1906"/>
      <c r="I222" s="1458"/>
      <c r="J222" s="1460"/>
      <c r="K222" s="1461"/>
      <c r="L222" s="1458"/>
      <c r="M222" s="1459"/>
    </row>
    <row r="223" spans="1:13" ht="11.25" customHeight="1" x14ac:dyDescent="0.25">
      <c r="A223" s="1457"/>
      <c r="B223" s="1813"/>
      <c r="C223" s="1823" t="s">
        <v>1185</v>
      </c>
      <c r="D223" s="1845"/>
      <c r="E223" s="1461"/>
      <c r="F223" s="1458"/>
      <c r="G223" s="1459"/>
      <c r="H223" s="1906"/>
      <c r="I223" s="1458"/>
      <c r="J223" s="1460"/>
      <c r="K223" s="1461"/>
      <c r="L223" s="1458"/>
      <c r="M223" s="1459"/>
    </row>
    <row r="224" spans="1:13" ht="11.25" customHeight="1" x14ac:dyDescent="0.25">
      <c r="A224" s="1457"/>
      <c r="B224" s="1813"/>
      <c r="C224" s="1823" t="s">
        <v>1349</v>
      </c>
      <c r="D224" s="1845"/>
      <c r="E224" s="1461"/>
      <c r="F224" s="1458"/>
      <c r="G224" s="1459"/>
      <c r="H224" s="1906"/>
      <c r="I224" s="1458"/>
      <c r="J224" s="1460"/>
      <c r="K224" s="1461"/>
      <c r="L224" s="1458"/>
      <c r="M224" s="1459"/>
    </row>
    <row r="225" spans="1:13" ht="11.25" customHeight="1" x14ac:dyDescent="0.25">
      <c r="A225" s="1457"/>
      <c r="B225" s="1813"/>
      <c r="C225" s="1825" t="s">
        <v>1240</v>
      </c>
      <c r="D225" s="1845"/>
      <c r="E225" s="1916">
        <f>SUM(E222:E224)</f>
        <v>0</v>
      </c>
      <c r="F225" s="1912">
        <f t="shared" ref="F225:M225" si="65">SUM(F222:F224)</f>
        <v>0</v>
      </c>
      <c r="G225" s="1913">
        <f t="shared" si="65"/>
        <v>0</v>
      </c>
      <c r="H225" s="1914">
        <f t="shared" si="65"/>
        <v>0</v>
      </c>
      <c r="I225" s="1912">
        <f t="shared" si="65"/>
        <v>0</v>
      </c>
      <c r="J225" s="1915">
        <f t="shared" si="65"/>
        <v>0</v>
      </c>
      <c r="K225" s="1916">
        <f t="shared" si="65"/>
        <v>0</v>
      </c>
      <c r="L225" s="1912">
        <f t="shared" si="65"/>
        <v>0</v>
      </c>
      <c r="M225" s="1913">
        <f t="shared" si="65"/>
        <v>0</v>
      </c>
    </row>
    <row r="226" spans="1:13" ht="11.25" customHeight="1" x14ac:dyDescent="0.25">
      <c r="B226" s="1813"/>
      <c r="C226" s="1826" t="s">
        <v>1276</v>
      </c>
      <c r="D226" s="1845"/>
      <c r="E226" s="1921">
        <f>E221+E225</f>
        <v>0</v>
      </c>
      <c r="F226" s="1917">
        <f t="shared" ref="F226:M226" si="66">F221+F225</f>
        <v>0</v>
      </c>
      <c r="G226" s="1918">
        <f t="shared" si="66"/>
        <v>0</v>
      </c>
      <c r="H226" s="1919">
        <f t="shared" si="66"/>
        <v>0</v>
      </c>
      <c r="I226" s="1917">
        <f t="shared" si="66"/>
        <v>0</v>
      </c>
      <c r="J226" s="1920">
        <f t="shared" si="66"/>
        <v>0</v>
      </c>
      <c r="K226" s="1921">
        <f t="shared" si="66"/>
        <v>0</v>
      </c>
      <c r="L226" s="1917">
        <f t="shared" si="66"/>
        <v>0</v>
      </c>
      <c r="M226" s="1918">
        <f t="shared" si="66"/>
        <v>0</v>
      </c>
    </row>
    <row r="227" spans="1:13" ht="11.25" customHeight="1" x14ac:dyDescent="0.25">
      <c r="A227" s="1828" t="s">
        <v>1989</v>
      </c>
      <c r="B227" s="1813"/>
      <c r="C227" s="1822" t="s">
        <v>646</v>
      </c>
      <c r="D227" s="1845"/>
      <c r="E227" s="1926"/>
      <c r="F227" s="1922"/>
      <c r="G227" s="1925"/>
      <c r="H227" s="1924"/>
      <c r="I227" s="1922"/>
      <c r="J227" s="1925"/>
      <c r="K227" s="1926"/>
      <c r="L227" s="1922"/>
      <c r="M227" s="1923"/>
    </row>
    <row r="228" spans="1:13" ht="11.25" customHeight="1" x14ac:dyDescent="0.25">
      <c r="A228" s="1457"/>
      <c r="B228" s="1813"/>
      <c r="C228" s="1823" t="s">
        <v>1186</v>
      </c>
      <c r="D228" s="1845"/>
      <c r="E228" s="1461"/>
      <c r="F228" s="1458"/>
      <c r="G228" s="1459"/>
      <c r="H228" s="1906"/>
      <c r="I228" s="1458"/>
      <c r="J228" s="1460"/>
      <c r="K228" s="1461"/>
      <c r="L228" s="1458"/>
      <c r="M228" s="1459"/>
    </row>
    <row r="229" spans="1:13" ht="11.25" customHeight="1" x14ac:dyDescent="0.25">
      <c r="A229" s="1457"/>
      <c r="B229" s="1813"/>
      <c r="C229" s="1823" t="s">
        <v>483</v>
      </c>
      <c r="D229" s="1845"/>
      <c r="E229" s="1461"/>
      <c r="F229" s="1458"/>
      <c r="G229" s="1459"/>
      <c r="H229" s="1906"/>
      <c r="I229" s="1458"/>
      <c r="J229" s="1460"/>
      <c r="K229" s="1461"/>
      <c r="L229" s="1458"/>
      <c r="M229" s="1459"/>
    </row>
    <row r="230" spans="1:13" ht="11.25" customHeight="1" x14ac:dyDescent="0.25">
      <c r="A230" s="1457"/>
      <c r="B230" s="1813"/>
      <c r="C230" s="1825" t="s">
        <v>358</v>
      </c>
      <c r="D230" s="1845"/>
      <c r="E230" s="1911">
        <f>SUM(E228:E229)</f>
        <v>0</v>
      </c>
      <c r="F230" s="1907">
        <f t="shared" ref="F230:M230" si="67">SUM(F228:F229)</f>
        <v>0</v>
      </c>
      <c r="G230" s="1908">
        <f t="shared" si="67"/>
        <v>0</v>
      </c>
      <c r="H230" s="1909">
        <f t="shared" si="67"/>
        <v>0</v>
      </c>
      <c r="I230" s="1907">
        <f t="shared" si="67"/>
        <v>0</v>
      </c>
      <c r="J230" s="1910">
        <f t="shared" si="67"/>
        <v>0</v>
      </c>
      <c r="K230" s="1911">
        <f t="shared" si="67"/>
        <v>0</v>
      </c>
      <c r="L230" s="1907">
        <f t="shared" si="67"/>
        <v>0</v>
      </c>
      <c r="M230" s="1908">
        <f t="shared" si="67"/>
        <v>0</v>
      </c>
    </row>
    <row r="231" spans="1:13" ht="11.25" customHeight="1" x14ac:dyDescent="0.25">
      <c r="A231" s="1457"/>
      <c r="B231" s="1813"/>
      <c r="C231" s="1823" t="s">
        <v>484</v>
      </c>
      <c r="D231" s="1845"/>
      <c r="E231" s="1461"/>
      <c r="F231" s="1458"/>
      <c r="G231" s="1459"/>
      <c r="H231" s="1906"/>
      <c r="I231" s="1458"/>
      <c r="J231" s="1460"/>
      <c r="K231" s="1461"/>
      <c r="L231" s="1458"/>
      <c r="M231" s="1459"/>
    </row>
    <row r="232" spans="1:13" ht="11.25" customHeight="1" x14ac:dyDescent="0.25">
      <c r="A232" s="1457"/>
      <c r="B232" s="1813"/>
      <c r="C232" s="1823" t="s">
        <v>485</v>
      </c>
      <c r="D232" s="1845"/>
      <c r="E232" s="1461"/>
      <c r="F232" s="1458"/>
      <c r="G232" s="1459"/>
      <c r="H232" s="1906"/>
      <c r="I232" s="1458"/>
      <c r="J232" s="1460"/>
      <c r="K232" s="1461"/>
      <c r="L232" s="1458"/>
      <c r="M232" s="1459"/>
    </row>
    <row r="233" spans="1:13" ht="11.25" customHeight="1" x14ac:dyDescent="0.25">
      <c r="A233" s="1457"/>
      <c r="B233" s="1813"/>
      <c r="C233" s="1823" t="s">
        <v>647</v>
      </c>
      <c r="D233" s="1845"/>
      <c r="E233" s="1461"/>
      <c r="F233" s="1458"/>
      <c r="G233" s="1459"/>
      <c r="H233" s="1906"/>
      <c r="I233" s="1458"/>
      <c r="J233" s="1460"/>
      <c r="K233" s="1461"/>
      <c r="L233" s="1458"/>
      <c r="M233" s="1459"/>
    </row>
    <row r="234" spans="1:13" ht="11.25" customHeight="1" x14ac:dyDescent="0.25">
      <c r="A234" s="1457"/>
      <c r="B234" s="1813"/>
      <c r="C234" s="1825" t="s">
        <v>1240</v>
      </c>
      <c r="D234" s="1845"/>
      <c r="E234" s="1916">
        <f>SUM(E231:E233)</f>
        <v>0</v>
      </c>
      <c r="F234" s="1912">
        <f t="shared" ref="F234:M234" si="68">SUM(F231:F233)</f>
        <v>0</v>
      </c>
      <c r="G234" s="1913">
        <f t="shared" si="68"/>
        <v>0</v>
      </c>
      <c r="H234" s="1914">
        <f t="shared" si="68"/>
        <v>0</v>
      </c>
      <c r="I234" s="1912">
        <f t="shared" si="68"/>
        <v>0</v>
      </c>
      <c r="J234" s="1915">
        <f t="shared" si="68"/>
        <v>0</v>
      </c>
      <c r="K234" s="1916">
        <f t="shared" si="68"/>
        <v>0</v>
      </c>
      <c r="L234" s="1912">
        <f t="shared" si="68"/>
        <v>0</v>
      </c>
      <c r="M234" s="1913">
        <f t="shared" si="68"/>
        <v>0</v>
      </c>
    </row>
    <row r="235" spans="1:13" ht="11.25" customHeight="1" x14ac:dyDescent="0.25">
      <c r="A235" s="1829"/>
      <c r="B235" s="1813"/>
      <c r="C235" s="1826" t="s">
        <v>1276</v>
      </c>
      <c r="D235" s="1845"/>
      <c r="E235" s="1921">
        <f>E230+E234</f>
        <v>0</v>
      </c>
      <c r="F235" s="1917">
        <f t="shared" ref="F235:M235" si="69">F230+F234</f>
        <v>0</v>
      </c>
      <c r="G235" s="1918">
        <f t="shared" si="69"/>
        <v>0</v>
      </c>
      <c r="H235" s="1919">
        <f t="shared" si="69"/>
        <v>0</v>
      </c>
      <c r="I235" s="1917">
        <f t="shared" si="69"/>
        <v>0</v>
      </c>
      <c r="J235" s="1920">
        <f t="shared" si="69"/>
        <v>0</v>
      </c>
      <c r="K235" s="1921">
        <f t="shared" si="69"/>
        <v>0</v>
      </c>
      <c r="L235" s="1917">
        <f t="shared" si="69"/>
        <v>0</v>
      </c>
      <c r="M235" s="1918">
        <f t="shared" si="69"/>
        <v>0</v>
      </c>
    </row>
    <row r="236" spans="1:13" ht="11.25" customHeight="1" x14ac:dyDescent="0.25">
      <c r="A236" s="1828" t="s">
        <v>1989</v>
      </c>
      <c r="B236" s="1813"/>
      <c r="C236" s="1822" t="s">
        <v>650</v>
      </c>
      <c r="D236" s="1845"/>
      <c r="E236" s="1926"/>
      <c r="F236" s="1922"/>
      <c r="G236" s="1925"/>
      <c r="H236" s="1924"/>
      <c r="I236" s="1922"/>
      <c r="J236" s="1925"/>
      <c r="K236" s="1926"/>
      <c r="L236" s="1922"/>
      <c r="M236" s="1923"/>
    </row>
    <row r="237" spans="1:13" ht="11.25" customHeight="1" x14ac:dyDescent="0.25">
      <c r="A237" s="1457"/>
      <c r="B237" s="1813"/>
      <c r="C237" s="1823" t="s">
        <v>700</v>
      </c>
      <c r="D237" s="1845"/>
      <c r="E237" s="1464"/>
      <c r="F237" s="1462"/>
      <c r="G237" s="1463"/>
      <c r="H237" s="1927"/>
      <c r="I237" s="1462"/>
      <c r="J237" s="1928"/>
      <c r="K237" s="1464"/>
      <c r="L237" s="1462"/>
      <c r="M237" s="1463"/>
    </row>
    <row r="238" spans="1:13" ht="11.25" customHeight="1" x14ac:dyDescent="0.25">
      <c r="A238" s="1457"/>
      <c r="B238" s="1813"/>
      <c r="C238" s="1825" t="s">
        <v>358</v>
      </c>
      <c r="D238" s="1845"/>
      <c r="E238" s="1926">
        <f>SUM(E237)</f>
        <v>0</v>
      </c>
      <c r="F238" s="1922">
        <f t="shared" ref="F238:M238" si="70">SUM(F237)</f>
        <v>0</v>
      </c>
      <c r="G238" s="1923">
        <f t="shared" si="70"/>
        <v>0</v>
      </c>
      <c r="H238" s="1924">
        <f t="shared" si="70"/>
        <v>0</v>
      </c>
      <c r="I238" s="1922">
        <f t="shared" si="70"/>
        <v>0</v>
      </c>
      <c r="J238" s="1925">
        <f t="shared" si="70"/>
        <v>0</v>
      </c>
      <c r="K238" s="1926">
        <f t="shared" si="70"/>
        <v>0</v>
      </c>
      <c r="L238" s="1922">
        <f t="shared" si="70"/>
        <v>0</v>
      </c>
      <c r="M238" s="1923">
        <f t="shared" si="70"/>
        <v>0</v>
      </c>
    </row>
    <row r="239" spans="1:13" ht="11.25" customHeight="1" x14ac:dyDescent="0.25">
      <c r="A239" s="1457"/>
      <c r="B239" s="1813"/>
      <c r="C239" s="1823" t="s">
        <v>651</v>
      </c>
      <c r="D239" s="1845"/>
      <c r="E239" s="1461"/>
      <c r="F239" s="1458"/>
      <c r="G239" s="1459"/>
      <c r="H239" s="1906"/>
      <c r="I239" s="1458"/>
      <c r="J239" s="1460"/>
      <c r="K239" s="1461"/>
      <c r="L239" s="1458"/>
      <c r="M239" s="1459"/>
    </row>
    <row r="240" spans="1:13" ht="11.25" customHeight="1" x14ac:dyDescent="0.25">
      <c r="A240" s="1457"/>
      <c r="B240" s="1813"/>
      <c r="C240" s="1823" t="s">
        <v>652</v>
      </c>
      <c r="D240" s="1845"/>
      <c r="E240" s="1461"/>
      <c r="F240" s="1458"/>
      <c r="G240" s="1459"/>
      <c r="H240" s="1906"/>
      <c r="I240" s="1458"/>
      <c r="J240" s="1460"/>
      <c r="K240" s="1461"/>
      <c r="L240" s="1458"/>
      <c r="M240" s="1459"/>
    </row>
    <row r="241" spans="1:13" ht="11.25" customHeight="1" x14ac:dyDescent="0.25">
      <c r="A241" s="1457"/>
      <c r="B241" s="1813"/>
      <c r="C241" s="1823" t="s">
        <v>837</v>
      </c>
      <c r="D241" s="1845"/>
      <c r="E241" s="1461"/>
      <c r="F241" s="1458"/>
      <c r="G241" s="1459"/>
      <c r="H241" s="1906"/>
      <c r="I241" s="1458"/>
      <c r="J241" s="1460"/>
      <c r="K241" s="1461"/>
      <c r="L241" s="1458"/>
      <c r="M241" s="1459"/>
    </row>
    <row r="242" spans="1:13" ht="11.25" customHeight="1" x14ac:dyDescent="0.25">
      <c r="A242" s="1457"/>
      <c r="B242" s="1813"/>
      <c r="C242" s="1823" t="s">
        <v>838</v>
      </c>
      <c r="D242" s="1845"/>
      <c r="E242" s="1461"/>
      <c r="F242" s="1458"/>
      <c r="G242" s="1459"/>
      <c r="H242" s="1906"/>
      <c r="I242" s="1458"/>
      <c r="J242" s="1460"/>
      <c r="K242" s="1461"/>
      <c r="L242" s="1458"/>
      <c r="M242" s="1459"/>
    </row>
    <row r="243" spans="1:13" ht="11.25" customHeight="1" x14ac:dyDescent="0.25">
      <c r="A243" s="1457"/>
      <c r="B243" s="1813"/>
      <c r="C243" s="1823" t="s">
        <v>197</v>
      </c>
      <c r="D243" s="1845"/>
      <c r="E243" s="1461"/>
      <c r="F243" s="1458"/>
      <c r="G243" s="1459"/>
      <c r="H243" s="1906"/>
      <c r="I243" s="1458"/>
      <c r="J243" s="1460"/>
      <c r="K243" s="1461"/>
      <c r="L243" s="1458"/>
      <c r="M243" s="1459"/>
    </row>
    <row r="244" spans="1:13" ht="11.25" customHeight="1" x14ac:dyDescent="0.25">
      <c r="A244" s="1457"/>
      <c r="B244" s="1813"/>
      <c r="C244" s="1825" t="s">
        <v>1240</v>
      </c>
      <c r="D244" s="1845"/>
      <c r="E244" s="1916">
        <f t="shared" ref="E244:M244" si="71">SUM(E239:E243)</f>
        <v>0</v>
      </c>
      <c r="F244" s="1912">
        <f t="shared" si="71"/>
        <v>0</v>
      </c>
      <c r="G244" s="1913">
        <f t="shared" si="71"/>
        <v>0</v>
      </c>
      <c r="H244" s="1914">
        <f t="shared" si="71"/>
        <v>0</v>
      </c>
      <c r="I244" s="1912">
        <f t="shared" si="71"/>
        <v>0</v>
      </c>
      <c r="J244" s="1915">
        <f t="shared" si="71"/>
        <v>0</v>
      </c>
      <c r="K244" s="1916">
        <f t="shared" si="71"/>
        <v>0</v>
      </c>
      <c r="L244" s="1912">
        <f t="shared" si="71"/>
        <v>0</v>
      </c>
      <c r="M244" s="1913">
        <f t="shared" si="71"/>
        <v>0</v>
      </c>
    </row>
    <row r="245" spans="1:13" ht="11.25" customHeight="1" x14ac:dyDescent="0.25">
      <c r="B245" s="1813"/>
      <c r="C245" s="1826" t="s">
        <v>1276</v>
      </c>
      <c r="D245" s="1845"/>
      <c r="E245" s="1921">
        <f>E238+E244</f>
        <v>0</v>
      </c>
      <c r="F245" s="1917">
        <f t="shared" ref="F245:M245" si="72">F238+F244</f>
        <v>0</v>
      </c>
      <c r="G245" s="1918">
        <f t="shared" si="72"/>
        <v>0</v>
      </c>
      <c r="H245" s="1919">
        <f t="shared" si="72"/>
        <v>0</v>
      </c>
      <c r="I245" s="1917">
        <f t="shared" si="72"/>
        <v>0</v>
      </c>
      <c r="J245" s="1920">
        <f t="shared" si="72"/>
        <v>0</v>
      </c>
      <c r="K245" s="1921">
        <f t="shared" si="72"/>
        <v>0</v>
      </c>
      <c r="L245" s="1917">
        <f t="shared" si="72"/>
        <v>0</v>
      </c>
      <c r="M245" s="1918">
        <f t="shared" si="72"/>
        <v>0</v>
      </c>
    </row>
    <row r="246" spans="1:13" ht="5.0999999999999996" customHeight="1" x14ac:dyDescent="0.25">
      <c r="A246" s="1437"/>
      <c r="B246" s="1813"/>
      <c r="C246" s="2540"/>
      <c r="D246" s="1845"/>
      <c r="E246" s="1830"/>
      <c r="F246" s="1831"/>
      <c r="G246" s="1832"/>
      <c r="H246" s="1833"/>
      <c r="I246" s="1831"/>
      <c r="J246" s="1834"/>
      <c r="K246" s="1830"/>
      <c r="L246" s="1831"/>
      <c r="M246" s="1832"/>
    </row>
    <row r="247" spans="1:13" ht="48.75" customHeight="1" x14ac:dyDescent="0.25">
      <c r="A247" s="2701" t="s">
        <v>2196</v>
      </c>
      <c r="B247" s="2553"/>
      <c r="C247" s="2549"/>
      <c r="D247" s="2550"/>
      <c r="E247" s="2551" t="str">
        <f>head1b</f>
        <v>2012/13</v>
      </c>
      <c r="F247" s="983" t="str">
        <f>head1A</f>
        <v>2013/14</v>
      </c>
      <c r="G247" s="984" t="str">
        <f>Head1</f>
        <v>2014/15</v>
      </c>
      <c r="H247" s="2661" t="str">
        <f>Head2</f>
        <v>Current Year 2015/16</v>
      </c>
      <c r="I247" s="2662"/>
      <c r="J247" s="2663"/>
      <c r="K247" s="2661" t="str">
        <f>Head3</f>
        <v>2016/17 Medium Term Revenue &amp; Expenditure Framework</v>
      </c>
      <c r="L247" s="2662"/>
      <c r="M247" s="2663"/>
    </row>
    <row r="248" spans="1:13" ht="25.5" x14ac:dyDescent="0.25">
      <c r="A248" s="2702"/>
      <c r="B248" s="2554"/>
      <c r="C248" s="2542"/>
      <c r="D248" s="2555"/>
      <c r="E248" s="2552"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2016/17</v>
      </c>
      <c r="L248" s="985" t="str">
        <f>Head10</f>
        <v>Budget Year +1 2017/18</v>
      </c>
      <c r="M248" s="986" t="str">
        <f>Head11</f>
        <v>Budget Year +2 2018/19</v>
      </c>
    </row>
    <row r="249" spans="1:13" ht="12.75" x14ac:dyDescent="0.25">
      <c r="A249" s="2565" t="s">
        <v>612</v>
      </c>
      <c r="B249" s="2571" t="s">
        <v>1894</v>
      </c>
      <c r="C249" s="2570" t="s">
        <v>2197</v>
      </c>
      <c r="D249" s="2556"/>
      <c r="E249" s="2573"/>
      <c r="F249" s="2574"/>
      <c r="G249" s="2575"/>
      <c r="H249" s="2576"/>
      <c r="I249" s="2574"/>
      <c r="J249" s="2577"/>
      <c r="K249" s="2578"/>
      <c r="L249" s="2574"/>
      <c r="M249" s="2575"/>
    </row>
    <row r="250" spans="1:13" ht="25.5" x14ac:dyDescent="0.25">
      <c r="A250" s="2541" t="s">
        <v>2199</v>
      </c>
      <c r="B250" s="238"/>
      <c r="C250" s="2564" t="s">
        <v>2209</v>
      </c>
      <c r="D250" s="924"/>
      <c r="E250" s="2562"/>
      <c r="F250" s="1458"/>
      <c r="G250" s="1459"/>
      <c r="H250" s="1906"/>
      <c r="I250" s="1458"/>
      <c r="J250" s="1460"/>
      <c r="K250" s="1461"/>
      <c r="L250" s="1458"/>
      <c r="M250" s="1459"/>
    </row>
    <row r="251" spans="1:13" ht="12.75" x14ac:dyDescent="0.25">
      <c r="A251" s="2541"/>
      <c r="B251" s="238"/>
      <c r="C251" s="2567" t="s">
        <v>2198</v>
      </c>
      <c r="D251" s="924"/>
      <c r="E251" s="2562"/>
      <c r="F251" s="1458"/>
      <c r="G251" s="1459"/>
      <c r="H251" s="1906"/>
      <c r="I251" s="1458"/>
      <c r="J251" s="1460"/>
      <c r="K251" s="1461"/>
      <c r="L251" s="1458"/>
      <c r="M251" s="1459"/>
    </row>
    <row r="252" spans="1:13" ht="12.75" customHeight="1" x14ac:dyDescent="0.25">
      <c r="A252" s="2541"/>
      <c r="B252" s="238"/>
      <c r="C252" s="211" t="s">
        <v>2205</v>
      </c>
      <c r="D252" s="924"/>
      <c r="E252" s="2562"/>
      <c r="F252" s="1458"/>
      <c r="G252" s="1459"/>
      <c r="H252" s="1906"/>
      <c r="I252" s="1458"/>
      <c r="J252" s="1460"/>
      <c r="K252" s="1461"/>
      <c r="L252" s="1458"/>
      <c r="M252" s="1459"/>
    </row>
    <row r="253" spans="1:13" ht="12.75" customHeight="1" x14ac:dyDescent="0.25">
      <c r="A253" s="2541"/>
      <c r="B253" s="238"/>
      <c r="C253" s="2567" t="s">
        <v>2198</v>
      </c>
      <c r="D253" s="924"/>
      <c r="E253" s="2562"/>
      <c r="F253" s="1458"/>
      <c r="G253" s="1459"/>
      <c r="H253" s="1906"/>
      <c r="I253" s="1458"/>
      <c r="J253" s="1460"/>
      <c r="K253" s="1461"/>
      <c r="L253" s="1458"/>
      <c r="M253" s="1459"/>
    </row>
    <row r="254" spans="1:13" ht="12.75" customHeight="1" x14ac:dyDescent="0.25">
      <c r="A254" s="2541"/>
      <c r="B254" s="238"/>
      <c r="C254" s="211" t="s">
        <v>2206</v>
      </c>
      <c r="D254" s="924"/>
      <c r="E254" s="2562"/>
      <c r="F254" s="1458"/>
      <c r="G254" s="1459"/>
      <c r="H254" s="1906"/>
      <c r="I254" s="1458"/>
      <c r="J254" s="1460"/>
      <c r="K254" s="1461"/>
      <c r="L254" s="1458"/>
      <c r="M254" s="1459"/>
    </row>
    <row r="255" spans="1:13" ht="12.75" customHeight="1" x14ac:dyDescent="0.25">
      <c r="A255" s="2541"/>
      <c r="B255" s="238"/>
      <c r="C255" s="2567" t="s">
        <v>2198</v>
      </c>
      <c r="D255" s="924"/>
      <c r="E255" s="2562"/>
      <c r="F255" s="1458"/>
      <c r="G255" s="1459"/>
      <c r="H255" s="1906"/>
      <c r="I255" s="1458"/>
      <c r="J255" s="1460"/>
      <c r="K255" s="1461"/>
      <c r="L255" s="1458"/>
      <c r="M255" s="1459"/>
    </row>
    <row r="256" spans="1:13" ht="12.75" customHeight="1" x14ac:dyDescent="0.25">
      <c r="A256" s="2541"/>
      <c r="B256" s="238"/>
      <c r="C256" s="211" t="s">
        <v>2207</v>
      </c>
      <c r="D256" s="924"/>
      <c r="E256" s="2562"/>
      <c r="F256" s="1458"/>
      <c r="G256" s="1459"/>
      <c r="H256" s="1906"/>
      <c r="I256" s="1458"/>
      <c r="J256" s="1460"/>
      <c r="K256" s="1461"/>
      <c r="L256" s="1458"/>
      <c r="M256" s="1459"/>
    </row>
    <row r="257" spans="1:13" ht="12.75" customHeight="1" x14ac:dyDescent="0.25">
      <c r="A257" s="2541"/>
      <c r="B257" s="238"/>
      <c r="C257" s="2567" t="s">
        <v>2198</v>
      </c>
      <c r="D257" s="924"/>
      <c r="E257" s="2562"/>
      <c r="F257" s="1458"/>
      <c r="G257" s="1459"/>
      <c r="H257" s="1906"/>
      <c r="I257" s="1458"/>
      <c r="J257" s="1460"/>
      <c r="K257" s="1461"/>
      <c r="L257" s="1458"/>
      <c r="M257" s="1459"/>
    </row>
    <row r="258" spans="1:13" ht="12.75" customHeight="1" x14ac:dyDescent="0.25">
      <c r="A258" s="2541"/>
      <c r="B258" s="238"/>
      <c r="C258" s="211" t="s">
        <v>2208</v>
      </c>
      <c r="D258" s="924"/>
      <c r="E258" s="2562"/>
      <c r="F258" s="1458"/>
      <c r="G258" s="1459"/>
      <c r="H258" s="1906"/>
      <c r="I258" s="1458"/>
      <c r="J258" s="1460"/>
      <c r="K258" s="1461"/>
      <c r="L258" s="1458"/>
      <c r="M258" s="1459"/>
    </row>
    <row r="259" spans="1:13" ht="12.75" customHeight="1" x14ac:dyDescent="0.25">
      <c r="A259" s="2541"/>
      <c r="B259" s="238"/>
      <c r="C259" s="2568" t="s">
        <v>2198</v>
      </c>
      <c r="D259" s="1003"/>
      <c r="E259" s="2562"/>
      <c r="F259" s="1458"/>
      <c r="G259" s="1459"/>
      <c r="H259" s="1906"/>
      <c r="I259" s="1458"/>
      <c r="J259" s="1460"/>
      <c r="K259" s="1461"/>
      <c r="L259" s="1458"/>
      <c r="M259" s="1459"/>
    </row>
    <row r="260" spans="1:13" ht="12.75" x14ac:dyDescent="0.25">
      <c r="A260" s="2572"/>
      <c r="B260" s="2569"/>
      <c r="C260" s="2566" t="s">
        <v>2217</v>
      </c>
      <c r="D260" s="1847"/>
      <c r="E260" s="2563">
        <f>E252+E254+E256+E258</f>
        <v>0</v>
      </c>
      <c r="F260" s="2558">
        <f t="shared" ref="F260:M260" si="73">F252+F254+F256+F258</f>
        <v>0</v>
      </c>
      <c r="G260" s="2559">
        <f t="shared" si="73"/>
        <v>0</v>
      </c>
      <c r="H260" s="2560">
        <f t="shared" si="73"/>
        <v>0</v>
      </c>
      <c r="I260" s="2558">
        <f t="shared" si="73"/>
        <v>0</v>
      </c>
      <c r="J260" s="2561">
        <f t="shared" si="73"/>
        <v>0</v>
      </c>
      <c r="K260" s="2557">
        <f t="shared" si="73"/>
        <v>0</v>
      </c>
      <c r="L260" s="2558">
        <f t="shared" si="73"/>
        <v>0</v>
      </c>
      <c r="M260" s="2559">
        <f t="shared" si="73"/>
        <v>0</v>
      </c>
    </row>
    <row r="261" spans="1:13" ht="12.75" x14ac:dyDescent="0.25">
      <c r="A261" s="2565" t="s">
        <v>908</v>
      </c>
      <c r="B261" s="2571" t="s">
        <v>1894</v>
      </c>
      <c r="C261" s="2570" t="s">
        <v>2197</v>
      </c>
      <c r="D261" s="2556"/>
      <c r="E261" s="2573"/>
      <c r="F261" s="2574"/>
      <c r="G261" s="2575"/>
      <c r="H261" s="2576"/>
      <c r="I261" s="2574"/>
      <c r="J261" s="2577"/>
      <c r="K261" s="2578"/>
      <c r="L261" s="2574"/>
      <c r="M261" s="2575"/>
    </row>
    <row r="262" spans="1:13" ht="23.25" customHeight="1" x14ac:dyDescent="0.25">
      <c r="A262" s="2541" t="s">
        <v>2199</v>
      </c>
      <c r="B262" s="238"/>
      <c r="C262" s="2564" t="s">
        <v>2210</v>
      </c>
      <c r="D262" s="924"/>
      <c r="E262" s="2562"/>
      <c r="F262" s="1458"/>
      <c r="G262" s="1459"/>
      <c r="H262" s="1906"/>
      <c r="I262" s="1458"/>
      <c r="J262" s="1460"/>
      <c r="K262" s="1461"/>
      <c r="L262" s="1458"/>
      <c r="M262" s="1459"/>
    </row>
    <row r="263" spans="1:13" ht="12.75" x14ac:dyDescent="0.25">
      <c r="A263" s="2541"/>
      <c r="B263" s="238"/>
      <c r="C263" s="2567" t="s">
        <v>2198</v>
      </c>
      <c r="D263" s="924"/>
      <c r="E263" s="2562"/>
      <c r="F263" s="1458"/>
      <c r="G263" s="1459"/>
      <c r="H263" s="1906"/>
      <c r="I263" s="1458"/>
      <c r="J263" s="1460"/>
      <c r="K263" s="1461"/>
      <c r="L263" s="1458"/>
      <c r="M263" s="1459"/>
    </row>
    <row r="264" spans="1:13" ht="12.75" x14ac:dyDescent="0.25">
      <c r="A264" s="2541"/>
      <c r="B264" s="238"/>
      <c r="C264" s="211" t="s">
        <v>2205</v>
      </c>
      <c r="D264" s="924"/>
      <c r="E264" s="2562"/>
      <c r="F264" s="1458"/>
      <c r="G264" s="1459"/>
      <c r="H264" s="1906"/>
      <c r="I264" s="1458"/>
      <c r="J264" s="1460"/>
      <c r="K264" s="1461"/>
      <c r="L264" s="1458"/>
      <c r="M264" s="1459"/>
    </row>
    <row r="265" spans="1:13" ht="12.75" x14ac:dyDescent="0.25">
      <c r="A265" s="2541"/>
      <c r="B265" s="238"/>
      <c r="C265" s="2567" t="s">
        <v>2198</v>
      </c>
      <c r="D265" s="924"/>
      <c r="E265" s="2562"/>
      <c r="F265" s="1458"/>
      <c r="G265" s="1459"/>
      <c r="H265" s="1906"/>
      <c r="I265" s="1458"/>
      <c r="J265" s="1460"/>
      <c r="K265" s="1461"/>
      <c r="L265" s="1458"/>
      <c r="M265" s="1459"/>
    </row>
    <row r="266" spans="1:13" ht="12.75" x14ac:dyDescent="0.25">
      <c r="A266" s="2541"/>
      <c r="B266" s="238"/>
      <c r="C266" s="211" t="s">
        <v>2206</v>
      </c>
      <c r="D266" s="924"/>
      <c r="E266" s="2562"/>
      <c r="F266" s="1458"/>
      <c r="G266" s="1459"/>
      <c r="H266" s="1906"/>
      <c r="I266" s="1458"/>
      <c r="J266" s="1460"/>
      <c r="K266" s="1461"/>
      <c r="L266" s="1458"/>
      <c r="M266" s="1459"/>
    </row>
    <row r="267" spans="1:13" ht="12.75" x14ac:dyDescent="0.25">
      <c r="A267" s="2541"/>
      <c r="B267" s="238"/>
      <c r="C267" s="2567" t="s">
        <v>2198</v>
      </c>
      <c r="D267" s="924"/>
      <c r="E267" s="2562"/>
      <c r="F267" s="1458"/>
      <c r="G267" s="1459"/>
      <c r="H267" s="1906"/>
      <c r="I267" s="1458"/>
      <c r="J267" s="1460"/>
      <c r="K267" s="1461"/>
      <c r="L267" s="1458"/>
      <c r="M267" s="1459"/>
    </row>
    <row r="268" spans="1:13" ht="12.75" x14ac:dyDescent="0.25">
      <c r="A268" s="2541"/>
      <c r="B268" s="238"/>
      <c r="C268" s="211" t="s">
        <v>2207</v>
      </c>
      <c r="D268" s="924"/>
      <c r="E268" s="2562"/>
      <c r="F268" s="1458"/>
      <c r="G268" s="1459"/>
      <c r="H268" s="1906"/>
      <c r="I268" s="1458"/>
      <c r="J268" s="1460"/>
      <c r="K268" s="1461"/>
      <c r="L268" s="1458"/>
      <c r="M268" s="1459"/>
    </row>
    <row r="269" spans="1:13" ht="12.75" x14ac:dyDescent="0.25">
      <c r="A269" s="2541"/>
      <c r="B269" s="238"/>
      <c r="C269" s="2567" t="s">
        <v>2198</v>
      </c>
      <c r="D269" s="924"/>
      <c r="E269" s="2562"/>
      <c r="F269" s="1458"/>
      <c r="G269" s="1459"/>
      <c r="H269" s="1906"/>
      <c r="I269" s="1458"/>
      <c r="J269" s="1460"/>
      <c r="K269" s="1461"/>
      <c r="L269" s="1458"/>
      <c r="M269" s="1459"/>
    </row>
    <row r="270" spans="1:13" ht="12.75" x14ac:dyDescent="0.25">
      <c r="A270" s="2541"/>
      <c r="B270" s="238"/>
      <c r="C270" s="211" t="s">
        <v>2208</v>
      </c>
      <c r="D270" s="924"/>
      <c r="E270" s="2562"/>
      <c r="F270" s="1458"/>
      <c r="G270" s="1459"/>
      <c r="H270" s="1906"/>
      <c r="I270" s="1458"/>
      <c r="J270" s="1460"/>
      <c r="K270" s="1461"/>
      <c r="L270" s="1458"/>
      <c r="M270" s="1459"/>
    </row>
    <row r="271" spans="1:13" ht="12.75" x14ac:dyDescent="0.25">
      <c r="A271" s="2541"/>
      <c r="B271" s="238"/>
      <c r="C271" s="2568" t="s">
        <v>2198</v>
      </c>
      <c r="D271" s="1003"/>
      <c r="E271" s="2562"/>
      <c r="F271" s="1458"/>
      <c r="G271" s="1459"/>
      <c r="H271" s="1906"/>
      <c r="I271" s="1458"/>
      <c r="J271" s="1460"/>
      <c r="K271" s="1461"/>
      <c r="L271" s="1458"/>
      <c r="M271" s="1459"/>
    </row>
    <row r="272" spans="1:13" ht="12.75" x14ac:dyDescent="0.25">
      <c r="A272" s="2572"/>
      <c r="B272" s="2569"/>
      <c r="C272" s="2566" t="s">
        <v>2213</v>
      </c>
      <c r="D272" s="1847"/>
      <c r="E272" s="2563">
        <f>E264+E266+E268+E270</f>
        <v>0</v>
      </c>
      <c r="F272" s="2558">
        <f t="shared" ref="F272:M272" si="74">F264+F266+F268+F270</f>
        <v>0</v>
      </c>
      <c r="G272" s="2559">
        <f t="shared" si="74"/>
        <v>0</v>
      </c>
      <c r="H272" s="2560">
        <f t="shared" si="74"/>
        <v>0</v>
      </c>
      <c r="I272" s="2558">
        <f t="shared" si="74"/>
        <v>0</v>
      </c>
      <c r="J272" s="2561">
        <f t="shared" si="74"/>
        <v>0</v>
      </c>
      <c r="K272" s="2557">
        <f t="shared" si="74"/>
        <v>0</v>
      </c>
      <c r="L272" s="2558">
        <f t="shared" si="74"/>
        <v>0</v>
      </c>
      <c r="M272" s="2559">
        <f t="shared" si="74"/>
        <v>0</v>
      </c>
    </row>
    <row r="273" spans="1:13" ht="12.75" x14ac:dyDescent="0.25">
      <c r="A273" s="2565" t="s">
        <v>909</v>
      </c>
      <c r="B273" s="2571" t="s">
        <v>1894</v>
      </c>
      <c r="C273" s="2570" t="s">
        <v>2197</v>
      </c>
      <c r="D273" s="2556"/>
      <c r="E273" s="2573"/>
      <c r="F273" s="2574"/>
      <c r="G273" s="2575"/>
      <c r="H273" s="2576"/>
      <c r="I273" s="2574"/>
      <c r="J273" s="2577"/>
      <c r="K273" s="2578"/>
      <c r="L273" s="2574"/>
      <c r="M273" s="2575"/>
    </row>
    <row r="274" spans="1:13" ht="25.5" x14ac:dyDescent="0.25">
      <c r="A274" s="2541" t="s">
        <v>2199</v>
      </c>
      <c r="B274" s="238"/>
      <c r="C274" s="2564" t="s">
        <v>2211</v>
      </c>
      <c r="D274" s="924"/>
      <c r="E274" s="2562"/>
      <c r="F274" s="1458"/>
      <c r="G274" s="1459"/>
      <c r="H274" s="1906"/>
      <c r="I274" s="1458"/>
      <c r="J274" s="1460"/>
      <c r="K274" s="1461"/>
      <c r="L274" s="1458"/>
      <c r="M274" s="1459"/>
    </row>
    <row r="275" spans="1:13" ht="12.75" x14ac:dyDescent="0.25">
      <c r="A275" s="2541"/>
      <c r="B275" s="238"/>
      <c r="C275" s="2567" t="s">
        <v>2198</v>
      </c>
      <c r="D275" s="924"/>
      <c r="E275" s="2562"/>
      <c r="F275" s="1458"/>
      <c r="G275" s="1459"/>
      <c r="H275" s="1906"/>
      <c r="I275" s="1458"/>
      <c r="J275" s="1460"/>
      <c r="K275" s="1461"/>
      <c r="L275" s="1458"/>
      <c r="M275" s="1459"/>
    </row>
    <row r="276" spans="1:13" ht="12.75" x14ac:dyDescent="0.25">
      <c r="A276" s="2541"/>
      <c r="B276" s="238"/>
      <c r="C276" s="211" t="s">
        <v>2205</v>
      </c>
      <c r="D276" s="924"/>
      <c r="E276" s="2562"/>
      <c r="F276" s="1458"/>
      <c r="G276" s="1459"/>
      <c r="H276" s="1906"/>
      <c r="I276" s="1458"/>
      <c r="J276" s="1460"/>
      <c r="K276" s="1461"/>
      <c r="L276" s="1458"/>
      <c r="M276" s="1459"/>
    </row>
    <row r="277" spans="1:13" ht="12.75" x14ac:dyDescent="0.25">
      <c r="A277" s="2541"/>
      <c r="B277" s="238"/>
      <c r="C277" s="2567" t="s">
        <v>2198</v>
      </c>
      <c r="D277" s="924"/>
      <c r="E277" s="2562"/>
      <c r="F277" s="1458"/>
      <c r="G277" s="1459"/>
      <c r="H277" s="1906"/>
      <c r="I277" s="1458"/>
      <c r="J277" s="1460"/>
      <c r="K277" s="1461"/>
      <c r="L277" s="1458"/>
      <c r="M277" s="1459"/>
    </row>
    <row r="278" spans="1:13" ht="12.75" x14ac:dyDescent="0.25">
      <c r="A278" s="2541"/>
      <c r="B278" s="238"/>
      <c r="C278" s="211" t="s">
        <v>2206</v>
      </c>
      <c r="D278" s="924"/>
      <c r="E278" s="2562"/>
      <c r="F278" s="1458"/>
      <c r="G278" s="1459"/>
      <c r="H278" s="1906"/>
      <c r="I278" s="1458"/>
      <c r="J278" s="1460"/>
      <c r="K278" s="1461"/>
      <c r="L278" s="1458"/>
      <c r="M278" s="1459"/>
    </row>
    <row r="279" spans="1:13" ht="12.75" x14ac:dyDescent="0.25">
      <c r="A279" s="2541"/>
      <c r="B279" s="238"/>
      <c r="C279" s="2567" t="s">
        <v>2198</v>
      </c>
      <c r="D279" s="924"/>
      <c r="E279" s="2562"/>
      <c r="F279" s="1458"/>
      <c r="G279" s="1459"/>
      <c r="H279" s="1906"/>
      <c r="I279" s="1458"/>
      <c r="J279" s="1460"/>
      <c r="K279" s="1461"/>
      <c r="L279" s="1458"/>
      <c r="M279" s="1459"/>
    </row>
    <row r="280" spans="1:13" ht="12.75" x14ac:dyDescent="0.25">
      <c r="A280" s="2541"/>
      <c r="B280" s="238"/>
      <c r="C280" s="211" t="s">
        <v>2207</v>
      </c>
      <c r="D280" s="924"/>
      <c r="E280" s="2562"/>
      <c r="F280" s="1458"/>
      <c r="G280" s="1459"/>
      <c r="H280" s="1906"/>
      <c r="I280" s="1458"/>
      <c r="J280" s="1460"/>
      <c r="K280" s="1461"/>
      <c r="L280" s="1458"/>
      <c r="M280" s="1459"/>
    </row>
    <row r="281" spans="1:13" ht="12.75" x14ac:dyDescent="0.25">
      <c r="A281" s="2541"/>
      <c r="B281" s="238"/>
      <c r="C281" s="2567" t="s">
        <v>2198</v>
      </c>
      <c r="D281" s="924"/>
      <c r="E281" s="2562"/>
      <c r="F281" s="1458"/>
      <c r="G281" s="1459"/>
      <c r="H281" s="1906"/>
      <c r="I281" s="1458"/>
      <c r="J281" s="1460"/>
      <c r="K281" s="1461"/>
      <c r="L281" s="1458"/>
      <c r="M281" s="1459"/>
    </row>
    <row r="282" spans="1:13" ht="12.75" x14ac:dyDescent="0.25">
      <c r="A282" s="2541"/>
      <c r="B282" s="238"/>
      <c r="C282" s="211" t="s">
        <v>2208</v>
      </c>
      <c r="D282" s="924"/>
      <c r="E282" s="2562"/>
      <c r="F282" s="1458"/>
      <c r="G282" s="1459"/>
      <c r="H282" s="1906"/>
      <c r="I282" s="1458"/>
      <c r="J282" s="1460"/>
      <c r="K282" s="1461"/>
      <c r="L282" s="1458"/>
      <c r="M282" s="1459"/>
    </row>
    <row r="283" spans="1:13" ht="12.75" x14ac:dyDescent="0.25">
      <c r="A283" s="2541"/>
      <c r="B283" s="238"/>
      <c r="C283" s="2568" t="s">
        <v>2198</v>
      </c>
      <c r="D283" s="1003"/>
      <c r="E283" s="2562"/>
      <c r="F283" s="1458"/>
      <c r="G283" s="1459"/>
      <c r="H283" s="1906"/>
      <c r="I283" s="1458"/>
      <c r="J283" s="1460"/>
      <c r="K283" s="1461"/>
      <c r="L283" s="1458"/>
      <c r="M283" s="1459"/>
    </row>
    <row r="284" spans="1:13" ht="12.75" x14ac:dyDescent="0.25">
      <c r="A284" s="2572"/>
      <c r="B284" s="2569"/>
      <c r="C284" s="2566" t="s">
        <v>2214</v>
      </c>
      <c r="D284" s="1847"/>
      <c r="E284" s="2563">
        <f>E276+E278+E280+E282</f>
        <v>0</v>
      </c>
      <c r="F284" s="2558">
        <f t="shared" ref="F284:M284" si="75">F276+F278+F280+F282</f>
        <v>0</v>
      </c>
      <c r="G284" s="2559">
        <f t="shared" si="75"/>
        <v>0</v>
      </c>
      <c r="H284" s="2560">
        <f t="shared" si="75"/>
        <v>0</v>
      </c>
      <c r="I284" s="2558">
        <f t="shared" si="75"/>
        <v>0</v>
      </c>
      <c r="J284" s="2561">
        <f t="shared" si="75"/>
        <v>0</v>
      </c>
      <c r="K284" s="2557">
        <f t="shared" si="75"/>
        <v>0</v>
      </c>
      <c r="L284" s="2558">
        <f t="shared" si="75"/>
        <v>0</v>
      </c>
      <c r="M284" s="2559">
        <f t="shared" si="75"/>
        <v>0</v>
      </c>
    </row>
    <row r="285" spans="1:13" ht="12.75" x14ac:dyDescent="0.25">
      <c r="A285" s="2565" t="s">
        <v>2215</v>
      </c>
      <c r="B285" s="2571" t="s">
        <v>1894</v>
      </c>
      <c r="C285" s="2570" t="s">
        <v>2197</v>
      </c>
      <c r="D285" s="2556"/>
      <c r="E285" s="2573"/>
      <c r="F285" s="2574"/>
      <c r="G285" s="2575"/>
      <c r="H285" s="2576"/>
      <c r="I285" s="2574"/>
      <c r="J285" s="2577"/>
      <c r="K285" s="2578"/>
      <c r="L285" s="2574"/>
      <c r="M285" s="2575"/>
    </row>
    <row r="286" spans="1:13" ht="25.5" x14ac:dyDescent="0.25">
      <c r="A286" s="2541" t="s">
        <v>2199</v>
      </c>
      <c r="B286" s="238"/>
      <c r="C286" s="2564" t="s">
        <v>2212</v>
      </c>
      <c r="D286" s="924"/>
      <c r="E286" s="2562"/>
      <c r="F286" s="1458"/>
      <c r="G286" s="1459"/>
      <c r="H286" s="1906"/>
      <c r="I286" s="1458"/>
      <c r="J286" s="1460"/>
      <c r="K286" s="1461"/>
      <c r="L286" s="1458"/>
      <c r="M286" s="1459"/>
    </row>
    <row r="287" spans="1:13" ht="12.75" x14ac:dyDescent="0.25">
      <c r="A287" s="2541"/>
      <c r="B287" s="238"/>
      <c r="C287" s="2567" t="s">
        <v>2198</v>
      </c>
      <c r="D287" s="924"/>
      <c r="E287" s="2562"/>
      <c r="F287" s="1458"/>
      <c r="G287" s="1459"/>
      <c r="H287" s="1906"/>
      <c r="I287" s="1458"/>
      <c r="J287" s="1460"/>
      <c r="K287" s="1461"/>
      <c r="L287" s="1458"/>
      <c r="M287" s="1459"/>
    </row>
    <row r="288" spans="1:13" ht="12.75" x14ac:dyDescent="0.25">
      <c r="A288" s="2541"/>
      <c r="B288" s="238"/>
      <c r="C288" s="211" t="s">
        <v>2205</v>
      </c>
      <c r="D288" s="924"/>
      <c r="E288" s="2562"/>
      <c r="F288" s="1458"/>
      <c r="G288" s="1459"/>
      <c r="H288" s="1906"/>
      <c r="I288" s="1458"/>
      <c r="J288" s="1460"/>
      <c r="K288" s="1461"/>
      <c r="L288" s="1458"/>
      <c r="M288" s="1459"/>
    </row>
    <row r="289" spans="1:13" ht="12.75" x14ac:dyDescent="0.25">
      <c r="A289" s="2541"/>
      <c r="B289" s="238"/>
      <c r="C289" s="2567" t="s">
        <v>2198</v>
      </c>
      <c r="D289" s="924"/>
      <c r="E289" s="2562"/>
      <c r="F289" s="1458"/>
      <c r="G289" s="1459"/>
      <c r="H289" s="1906"/>
      <c r="I289" s="1458"/>
      <c r="J289" s="1460"/>
      <c r="K289" s="1461"/>
      <c r="L289" s="1458"/>
      <c r="M289" s="1459"/>
    </row>
    <row r="290" spans="1:13" ht="12.75" x14ac:dyDescent="0.25">
      <c r="A290" s="2541"/>
      <c r="B290" s="238"/>
      <c r="C290" s="211" t="s">
        <v>2206</v>
      </c>
      <c r="D290" s="924"/>
      <c r="E290" s="2562"/>
      <c r="F290" s="1458"/>
      <c r="G290" s="1459"/>
      <c r="H290" s="1906"/>
      <c r="I290" s="1458"/>
      <c r="J290" s="1460"/>
      <c r="K290" s="1461"/>
      <c r="L290" s="1458"/>
      <c r="M290" s="1459"/>
    </row>
    <row r="291" spans="1:13" ht="12.75" x14ac:dyDescent="0.25">
      <c r="A291" s="2541"/>
      <c r="B291" s="238"/>
      <c r="C291" s="2567" t="s">
        <v>2198</v>
      </c>
      <c r="D291" s="924"/>
      <c r="E291" s="2562"/>
      <c r="F291" s="1458"/>
      <c r="G291" s="1459"/>
      <c r="H291" s="1906"/>
      <c r="I291" s="1458"/>
      <c r="J291" s="1460"/>
      <c r="K291" s="1461"/>
      <c r="L291" s="1458"/>
      <c r="M291" s="1459"/>
    </row>
    <row r="292" spans="1:13" ht="12.75" x14ac:dyDescent="0.25">
      <c r="A292" s="2541"/>
      <c r="B292" s="238"/>
      <c r="C292" s="211" t="s">
        <v>2207</v>
      </c>
      <c r="D292" s="924"/>
      <c r="E292" s="2562"/>
      <c r="F292" s="1458"/>
      <c r="G292" s="1459"/>
      <c r="H292" s="1906"/>
      <c r="I292" s="1458"/>
      <c r="J292" s="1460"/>
      <c r="K292" s="1461"/>
      <c r="L292" s="1458"/>
      <c r="M292" s="1459"/>
    </row>
    <row r="293" spans="1:13" ht="12.75" x14ac:dyDescent="0.25">
      <c r="A293" s="2541"/>
      <c r="B293" s="238"/>
      <c r="C293" s="2567" t="s">
        <v>2198</v>
      </c>
      <c r="D293" s="924"/>
      <c r="E293" s="2562"/>
      <c r="F293" s="1458"/>
      <c r="G293" s="1459"/>
      <c r="H293" s="1906"/>
      <c r="I293" s="1458"/>
      <c r="J293" s="1460"/>
      <c r="K293" s="1461"/>
      <c r="L293" s="1458"/>
      <c r="M293" s="1459"/>
    </row>
    <row r="294" spans="1:13" ht="12.75" x14ac:dyDescent="0.25">
      <c r="A294" s="2541"/>
      <c r="B294" s="238"/>
      <c r="C294" s="211" t="s">
        <v>2208</v>
      </c>
      <c r="D294" s="924"/>
      <c r="E294" s="2562"/>
      <c r="F294" s="1458"/>
      <c r="G294" s="1459"/>
      <c r="H294" s="1906"/>
      <c r="I294" s="1458"/>
      <c r="J294" s="1460"/>
      <c r="K294" s="1461"/>
      <c r="L294" s="1458"/>
      <c r="M294" s="1459"/>
    </row>
    <row r="295" spans="1:13" ht="12.75" x14ac:dyDescent="0.25">
      <c r="A295" s="2541"/>
      <c r="B295" s="238"/>
      <c r="C295" s="2568" t="s">
        <v>2198</v>
      </c>
      <c r="D295" s="1003"/>
      <c r="E295" s="2562"/>
      <c r="F295" s="1458"/>
      <c r="G295" s="1459"/>
      <c r="H295" s="1906"/>
      <c r="I295" s="1458"/>
      <c r="J295" s="1460"/>
      <c r="K295" s="1461"/>
      <c r="L295" s="1458"/>
      <c r="M295" s="1459"/>
    </row>
    <row r="296" spans="1:13" ht="12.75" x14ac:dyDescent="0.25">
      <c r="A296" s="2572"/>
      <c r="B296" s="2569"/>
      <c r="C296" s="2566" t="s">
        <v>2216</v>
      </c>
      <c r="D296" s="1847"/>
      <c r="E296" s="2563">
        <f>E288+E290+E292+E294</f>
        <v>0</v>
      </c>
      <c r="F296" s="2558">
        <f t="shared" ref="F296:M296" si="76">F288+F290+F292+F294</f>
        <v>0</v>
      </c>
      <c r="G296" s="2559">
        <f t="shared" si="76"/>
        <v>0</v>
      </c>
      <c r="H296" s="2560">
        <f t="shared" si="76"/>
        <v>0</v>
      </c>
      <c r="I296" s="2558">
        <f t="shared" si="76"/>
        <v>0</v>
      </c>
      <c r="J296" s="2561">
        <f t="shared" si="76"/>
        <v>0</v>
      </c>
      <c r="K296" s="2557">
        <f t="shared" si="76"/>
        <v>0</v>
      </c>
      <c r="L296" s="2558">
        <f t="shared" si="76"/>
        <v>0</v>
      </c>
      <c r="M296" s="2559">
        <f t="shared" si="76"/>
        <v>0</v>
      </c>
    </row>
    <row r="297" spans="1:13" ht="12.75" x14ac:dyDescent="0.25">
      <c r="A297" s="1016" t="str">
        <f>head27a</f>
        <v>References</v>
      </c>
      <c r="B297" s="307"/>
      <c r="C297" s="2540"/>
      <c r="D297" s="1978"/>
      <c r="E297" s="926"/>
      <c r="F297" s="926"/>
      <c r="G297" s="926"/>
      <c r="H297" s="926"/>
      <c r="I297" s="926"/>
      <c r="J297" s="926"/>
      <c r="K297" s="926"/>
      <c r="L297" s="926"/>
      <c r="M297" s="926"/>
    </row>
    <row r="298" spans="1:13" ht="12.75" x14ac:dyDescent="0.25">
      <c r="A298" s="338" t="s">
        <v>2090</v>
      </c>
      <c r="B298" s="307"/>
      <c r="C298" s="2540"/>
      <c r="D298" s="1978"/>
      <c r="E298" s="926"/>
      <c r="F298" s="926"/>
      <c r="G298" s="926"/>
      <c r="H298" s="926"/>
      <c r="I298" s="926"/>
      <c r="J298" s="926"/>
      <c r="K298" s="926"/>
      <c r="L298" s="926"/>
      <c r="M298" s="926"/>
    </row>
    <row r="299" spans="1:13" ht="12.75" x14ac:dyDescent="0.25">
      <c r="A299" s="338" t="s">
        <v>581</v>
      </c>
      <c r="B299" s="307"/>
      <c r="C299" s="2540"/>
      <c r="D299" s="1978"/>
      <c r="E299" s="926"/>
      <c r="F299" s="926"/>
      <c r="G299" s="926"/>
      <c r="H299" s="926"/>
      <c r="I299" s="926"/>
      <c r="J299" s="926"/>
      <c r="K299" s="926"/>
      <c r="L299" s="926"/>
      <c r="M299" s="926"/>
    </row>
    <row r="300" spans="1:13" ht="12.75" x14ac:dyDescent="0.25">
      <c r="A300" s="338" t="s">
        <v>582</v>
      </c>
      <c r="B300" s="307"/>
      <c r="C300" s="2540"/>
      <c r="D300" s="1978"/>
      <c r="E300" s="926"/>
      <c r="F300" s="926"/>
      <c r="G300" s="926"/>
      <c r="H300" s="926"/>
      <c r="I300" s="926"/>
      <c r="J300" s="926"/>
      <c r="K300" s="926"/>
      <c r="L300" s="926"/>
      <c r="M300" s="926"/>
    </row>
    <row r="301" spans="1:13" ht="12.75" x14ac:dyDescent="0.25">
      <c r="A301" s="338" t="s">
        <v>583</v>
      </c>
      <c r="B301" s="307"/>
      <c r="C301" s="2540"/>
      <c r="D301" s="1978"/>
      <c r="E301" s="926"/>
      <c r="F301" s="926"/>
      <c r="G301" s="926"/>
      <c r="H301" s="926"/>
      <c r="I301" s="926"/>
      <c r="J301" s="926"/>
      <c r="K301" s="926"/>
      <c r="L301" s="926"/>
      <c r="M301" s="926"/>
    </row>
    <row r="302" spans="1:13" ht="12.75" x14ac:dyDescent="0.25">
      <c r="A302" s="338" t="s">
        <v>584</v>
      </c>
      <c r="B302" s="307"/>
      <c r="C302" s="2540"/>
      <c r="D302" s="1978"/>
      <c r="E302" s="926"/>
      <c r="F302" s="926"/>
      <c r="G302" s="926"/>
      <c r="H302" s="926"/>
      <c r="I302" s="926"/>
      <c r="J302" s="926"/>
      <c r="K302" s="926"/>
      <c r="L302" s="926"/>
      <c r="M302" s="926"/>
    </row>
    <row r="303" spans="1:13" ht="12.75" x14ac:dyDescent="0.25">
      <c r="A303" s="1268" t="s">
        <v>1524</v>
      </c>
      <c r="B303" s="307"/>
      <c r="C303" s="2540"/>
      <c r="D303" s="1978"/>
      <c r="E303" s="926"/>
      <c r="F303" s="926"/>
      <c r="G303" s="926"/>
      <c r="H303" s="926"/>
      <c r="I303" s="926"/>
      <c r="J303" s="926"/>
      <c r="K303" s="926"/>
      <c r="L303" s="926"/>
      <c r="M303" s="926"/>
    </row>
    <row r="304" spans="1:13" ht="12.75" x14ac:dyDescent="0.25">
      <c r="A304" s="1268" t="s">
        <v>1525</v>
      </c>
      <c r="B304" s="307"/>
      <c r="C304" s="2540"/>
      <c r="D304" s="1978"/>
      <c r="E304" s="926"/>
      <c r="F304" s="926"/>
      <c r="G304" s="926"/>
      <c r="H304" s="926"/>
      <c r="I304" s="926"/>
      <c r="J304" s="926"/>
      <c r="K304" s="926"/>
      <c r="L304" s="926"/>
      <c r="M304" s="926"/>
    </row>
    <row r="305" spans="1:13" ht="12.75" x14ac:dyDescent="0.25">
      <c r="A305" s="1017" t="s">
        <v>1990</v>
      </c>
      <c r="B305" s="307"/>
      <c r="C305" s="2540"/>
      <c r="D305" s="1978"/>
      <c r="E305" s="926"/>
      <c r="F305" s="926"/>
      <c r="G305" s="926"/>
      <c r="H305" s="926"/>
      <c r="I305" s="926"/>
      <c r="J305" s="926"/>
      <c r="K305" s="926"/>
      <c r="L305" s="926"/>
      <c r="M305" s="926"/>
    </row>
    <row r="306" spans="1:13" ht="11.25" customHeight="1" x14ac:dyDescent="0.25">
      <c r="A306" s="1017" t="s">
        <v>1991</v>
      </c>
      <c r="B306" s="125"/>
      <c r="E306" s="926"/>
      <c r="F306" s="926"/>
      <c r="G306" s="926"/>
      <c r="H306" s="926"/>
      <c r="I306" s="926"/>
      <c r="J306" s="926"/>
      <c r="K306" s="926"/>
      <c r="L306" s="926"/>
      <c r="M306" s="926"/>
    </row>
    <row r="307" spans="1:13" ht="11.25" customHeight="1" x14ac:dyDescent="0.25">
      <c r="A307" s="1017" t="s">
        <v>1992</v>
      </c>
      <c r="B307" s="1835"/>
      <c r="C307" s="586"/>
      <c r="D307" s="586"/>
    </row>
    <row r="308" spans="1:13" ht="11.25" customHeight="1" x14ac:dyDescent="0.25">
      <c r="A308" s="1017" t="s">
        <v>1993</v>
      </c>
      <c r="B308" s="678"/>
      <c r="C308" s="586"/>
      <c r="D308" s="586"/>
      <c r="E308" s="586"/>
      <c r="F308" s="586"/>
      <c r="G308" s="586"/>
      <c r="H308" s="586"/>
      <c r="I308" s="586"/>
      <c r="J308" s="586"/>
      <c r="K308" s="586"/>
      <c r="L308" s="586"/>
      <c r="M308" s="586"/>
    </row>
    <row r="309" spans="1:13" ht="11.25" customHeight="1" x14ac:dyDescent="0.25">
      <c r="A309" s="338" t="s">
        <v>2089</v>
      </c>
      <c r="B309" s="678"/>
      <c r="C309" s="586"/>
      <c r="D309" s="586"/>
      <c r="E309" s="586"/>
      <c r="F309" s="586"/>
      <c r="G309" s="586"/>
      <c r="H309" s="586"/>
      <c r="I309" s="586"/>
      <c r="J309" s="586"/>
      <c r="K309" s="586"/>
      <c r="L309" s="586"/>
      <c r="M309" s="586"/>
    </row>
    <row r="310" spans="1:13" ht="11.25" customHeight="1" x14ac:dyDescent="0.25">
      <c r="A310" s="1877" t="s">
        <v>2104</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5"/>
      <c r="E313" s="586"/>
      <c r="F313" s="586"/>
      <c r="G313" s="586"/>
      <c r="H313" s="586"/>
      <c r="I313" s="586"/>
      <c r="J313" s="586"/>
      <c r="K313" s="586"/>
      <c r="L313" s="586"/>
      <c r="M313" s="586"/>
    </row>
    <row r="314" spans="1:13" ht="11.25" customHeight="1" x14ac:dyDescent="0.25">
      <c r="B314" s="1835"/>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A63:A64"/>
    <mergeCell ref="H63:J63"/>
    <mergeCell ref="K63:M63"/>
    <mergeCell ref="A109:A110"/>
    <mergeCell ref="H109:J109"/>
    <mergeCell ref="K109:M109"/>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23" activePane="bottomRight" state="frozen"/>
      <selection pane="topRight"/>
      <selection pane="bottomLeft"/>
      <selection pane="bottomRight" activeCell="J31" sqref="J31"/>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LIM471 Ephraim Mogale Supporting Table SA10 Funding measurement</v>
      </c>
      <c r="B1" s="25"/>
      <c r="C1" s="25"/>
      <c r="D1" s="25"/>
      <c r="E1" s="25"/>
      <c r="F1" s="25"/>
      <c r="G1" s="25"/>
      <c r="H1" s="25"/>
      <c r="I1" s="25"/>
      <c r="J1" s="25"/>
      <c r="K1" s="25"/>
      <c r="L1" s="25"/>
      <c r="M1" s="25"/>
    </row>
    <row r="2" spans="1:15" ht="28.5" customHeight="1" x14ac:dyDescent="0.25">
      <c r="A2" s="2691" t="str">
        <f>desc</f>
        <v>Description</v>
      </c>
      <c r="B2" s="2706" t="s">
        <v>410</v>
      </c>
      <c r="C2" s="2708" t="str">
        <f>head27</f>
        <v>Ref</v>
      </c>
      <c r="D2" s="28" t="str">
        <f>head1b</f>
        <v>2012/13</v>
      </c>
      <c r="E2" s="28" t="str">
        <f>head1A</f>
        <v>2013/14</v>
      </c>
      <c r="F2" s="24" t="str">
        <f>Head1</f>
        <v>2014/15</v>
      </c>
      <c r="G2" s="2653" t="str">
        <f>Head2</f>
        <v>Current Year 2015/16</v>
      </c>
      <c r="H2" s="2654"/>
      <c r="I2" s="2654"/>
      <c r="J2" s="2654"/>
      <c r="K2" s="2650" t="str">
        <f>Head3</f>
        <v>2016/17 Medium Term Revenue &amp; Expenditure Framework</v>
      </c>
      <c r="L2" s="2651"/>
      <c r="M2" s="2652"/>
    </row>
    <row r="3" spans="1:15" ht="25.5" x14ac:dyDescent="0.25">
      <c r="A3" s="2692"/>
      <c r="B3" s="2707"/>
      <c r="C3" s="2709"/>
      <c r="D3" s="267" t="str">
        <f>Head5</f>
        <v>Audited Outcome</v>
      </c>
      <c r="E3" s="267" t="str">
        <f>Head5</f>
        <v>Audited Outcome</v>
      </c>
      <c r="F3" s="268" t="str">
        <f>Head5</f>
        <v>Audited Outcome</v>
      </c>
      <c r="G3" s="177" t="str">
        <f>Head6</f>
        <v>Original Budget</v>
      </c>
      <c r="H3" s="801" t="str">
        <f>Head7</f>
        <v>Adjusted Budget</v>
      </c>
      <c r="I3" s="1899" t="str">
        <f>Head8</f>
        <v>Full Year Forecast</v>
      </c>
      <c r="J3" s="1667" t="str">
        <f>Head5b</f>
        <v>Pre-audit outcome</v>
      </c>
      <c r="K3" s="177" t="str">
        <f>Head9</f>
        <v>Budget Year 2016/17</v>
      </c>
      <c r="L3" s="267" t="str">
        <f>Head10</f>
        <v>Budget Year +1 2017/18</v>
      </c>
      <c r="M3" s="268" t="str">
        <f>Head11</f>
        <v>Budget Year +2 2018/19</v>
      </c>
    </row>
    <row r="4" spans="1:15" x14ac:dyDescent="0.25">
      <c r="A4" s="59" t="s">
        <v>1632</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1270</v>
      </c>
      <c r="C5" s="171">
        <v>1</v>
      </c>
      <c r="D5" s="85">
        <f>'A7-CFlow'!C40</f>
        <v>32429818</v>
      </c>
      <c r="E5" s="435">
        <f>'A7-CFlow'!D40</f>
        <v>91136553</v>
      </c>
      <c r="F5" s="436">
        <f>'A7-CFlow'!E40</f>
        <v>178030570</v>
      </c>
      <c r="G5" s="129">
        <f>'A7-CFlow'!F40</f>
        <v>76024182.010000005</v>
      </c>
      <c r="H5" s="435">
        <f>'A7-CFlow'!G40</f>
        <v>84573320.510000005</v>
      </c>
      <c r="I5" s="436">
        <f>'A7-CFlow'!H40</f>
        <v>84573320.510000035</v>
      </c>
      <c r="J5" s="88">
        <f>'A7-CFlow'!I40</f>
        <v>84573320.510000035</v>
      </c>
      <c r="K5" s="89">
        <f>'A7-CFlow'!J40</f>
        <v>-4.7040018951520324E-2</v>
      </c>
      <c r="L5" s="435">
        <f>'A7-CFlow'!K40</f>
        <v>3588619.9837975409</v>
      </c>
      <c r="M5" s="436">
        <f>'A7-CFlow'!L40</f>
        <v>6901367.661409406</v>
      </c>
    </row>
    <row r="6" spans="1:15" x14ac:dyDescent="0.25">
      <c r="A6" s="68" t="s">
        <v>1339</v>
      </c>
      <c r="B6" s="434" t="s">
        <v>1270</v>
      </c>
      <c r="C6" s="171">
        <v>2</v>
      </c>
      <c r="D6" s="85">
        <f>'A8-ResRecon'!C8-'A8-ResRecon'!C18</f>
        <v>34565817</v>
      </c>
      <c r="E6" s="435">
        <f>'A8-ResRecon'!D8-'A8-ResRecon'!D18</f>
        <v>17575272</v>
      </c>
      <c r="F6" s="436">
        <f>'A8-ResRecon'!E8-'A8-ResRecon'!E18</f>
        <v>56624699</v>
      </c>
      <c r="G6" s="129">
        <f>'A8-ResRecon'!F8-'A8-ResRecon'!F18</f>
        <v>29896000</v>
      </c>
      <c r="H6" s="435">
        <f>'A8-ResRecon'!G8-'A8-ResRecon'!G18</f>
        <v>29961000</v>
      </c>
      <c r="I6" s="436">
        <f>'A8-ResRecon'!H8-'A8-ResRecon'!H18</f>
        <v>29871000</v>
      </c>
      <c r="J6" s="88">
        <f>'A8-ResRecon'!I8-'A8-ResRecon'!I18</f>
        <v>29871000</v>
      </c>
      <c r="K6" s="89">
        <f>'A8-ResRecon'!J8-'A8-ResRecon'!J18</f>
        <v>63009807.997299999</v>
      </c>
      <c r="L6" s="435">
        <f>'A8-ResRecon'!K8-'A8-ResRecon'!K18</f>
        <v>64913007.997299999</v>
      </c>
      <c r="M6" s="436">
        <f>'A8-ResRecon'!L8-'A8-ResRecon'!L18</f>
        <v>66931239.997299999</v>
      </c>
    </row>
    <row r="7" spans="1:15" x14ac:dyDescent="0.25">
      <c r="A7" s="68" t="s">
        <v>268</v>
      </c>
      <c r="B7" s="434" t="s">
        <v>1270</v>
      </c>
      <c r="C7" s="171">
        <v>3</v>
      </c>
      <c r="D7" s="846">
        <f>IF(ISERROR('SA8'!C39),0,('SA8'!C39))</f>
        <v>4.4384764737358404</v>
      </c>
      <c r="E7" s="438">
        <f>IF(ISERROR('SA8'!D39),0,('SA8'!D39))</f>
        <v>10.178738760143675</v>
      </c>
      <c r="F7" s="439">
        <f>IF(ISERROR('SA8'!E39),0,('SA8'!E39))</f>
        <v>18.586188176216524</v>
      </c>
      <c r="G7" s="440">
        <f>IF(ISERROR('SA8'!F39),0,('SA8'!F39))</f>
        <v>5.3397340171778653</v>
      </c>
      <c r="H7" s="438">
        <f>IF(ISERROR('SA8'!G39),0,('SA8'!G39))</f>
        <v>6.0802730130093376</v>
      </c>
      <c r="I7" s="439">
        <f>IF(ISERROR('SA8'!H39),0,('SA8'!H39))</f>
        <v>6.0802730130093394</v>
      </c>
      <c r="J7" s="437">
        <f>IF(ISERROR('SA8'!I39),0,('SA8'!I39))</f>
        <v>6.0802730130093394</v>
      </c>
      <c r="K7" s="441">
        <f>IF(ISERROR('SA8'!J39),0,('SA8'!J39))</f>
        <v>-3.1433944532063965E-9</v>
      </c>
      <c r="L7" s="438">
        <f>IF(ISERROR('SA8'!K39),0,('SA8'!K39))</f>
        <v>0.2270018903346776</v>
      </c>
      <c r="M7" s="439">
        <f>IF(ISERROR('SA8'!L39),0,('SA8'!L39))</f>
        <v>0.41112006425080844</v>
      </c>
    </row>
    <row r="8" spans="1:15" x14ac:dyDescent="0.25">
      <c r="A8" s="68" t="s">
        <v>1214</v>
      </c>
      <c r="B8" s="434" t="s">
        <v>1271</v>
      </c>
      <c r="C8" s="171">
        <v>4</v>
      </c>
      <c r="D8" s="85">
        <f>'A4-FinPerf RE'!C42+'SA3'!C60</f>
        <v>25483667.039999992</v>
      </c>
      <c r="E8" s="435">
        <f>'A4-FinPerf RE'!D42+'SA3'!D60</f>
        <v>12280913</v>
      </c>
      <c r="F8" s="436">
        <f>'A4-FinPerf RE'!E42+'SA3'!E60</f>
        <v>39856503</v>
      </c>
      <c r="G8" s="129">
        <f>'A4-FinPerf RE'!F42+'SA3'!F60</f>
        <v>-48242641.989800066</v>
      </c>
      <c r="H8" s="435">
        <f>'A4-FinPerf RE'!G42+'SA3'!G60</f>
        <v>-39693504.389999956</v>
      </c>
      <c r="I8" s="436">
        <f>'A4-FinPerf RE'!H42+'SA3'!H60</f>
        <v>-39693504.389999956</v>
      </c>
      <c r="J8" s="88">
        <f>'A4-FinPerf RE'!I42+'SA3'!I60</f>
        <v>-39693504.389999956</v>
      </c>
      <c r="K8" s="89">
        <f>'A4-FinPerf RE'!J42+'SA3'!J60</f>
        <v>-52258000.047039956</v>
      </c>
      <c r="L8" s="435">
        <f>'A4-FinPerf RE'!K42+'SA3'!K60</f>
        <v>-52151840.836162418</v>
      </c>
      <c r="M8" s="436">
        <f>'A4-FinPerf RE'!L42+'SA3'!L60</f>
        <v>-55529409.924512148</v>
      </c>
    </row>
    <row r="9" spans="1:15" x14ac:dyDescent="0.25">
      <c r="A9" s="203" t="s">
        <v>1516</v>
      </c>
      <c r="B9" s="442" t="s">
        <v>1268</v>
      </c>
      <c r="C9" s="172">
        <v>5</v>
      </c>
      <c r="D9" s="499" t="s">
        <v>1382</v>
      </c>
      <c r="E9" s="443">
        <f>IF(ISERROR(E36-E61),0,(E36-E61))</f>
        <v>0.25393917008591355</v>
      </c>
      <c r="F9" s="444">
        <f t="shared" ref="F9:M9" si="0">IF(ISERROR(F36-F61),0,(F36-F61))</f>
        <v>-6.4314280814052716E-2</v>
      </c>
      <c r="G9" s="447">
        <f t="shared" si="0"/>
        <v>0.15218415153124215</v>
      </c>
      <c r="H9" s="446">
        <f t="shared" si="0"/>
        <v>-5.5836446352756697E-2</v>
      </c>
      <c r="I9" s="444">
        <f t="shared" si="0"/>
        <v>-0.06</v>
      </c>
      <c r="J9" s="447">
        <f t="shared" si="0"/>
        <v>-0.06</v>
      </c>
      <c r="K9" s="448">
        <f>IF(ISERROR(K36-K61),0,(K36-K61))</f>
        <v>1.5369580506989833E-2</v>
      </c>
      <c r="L9" s="446">
        <f t="shared" si="0"/>
        <v>5.5511151231257827E-17</v>
      </c>
      <c r="M9" s="444">
        <f t="shared" si="0"/>
        <v>5.5511151231257827E-17</v>
      </c>
    </row>
    <row r="10" spans="1:15" x14ac:dyDescent="0.25">
      <c r="A10" s="203" t="s">
        <v>102</v>
      </c>
      <c r="B10" s="442" t="s">
        <v>1268</v>
      </c>
      <c r="C10" s="172">
        <v>6</v>
      </c>
      <c r="D10" s="500">
        <f>IF(ISERROR(D53/D54),0,(D53/D54))</f>
        <v>0.81945480950881855</v>
      </c>
      <c r="E10" s="446">
        <f t="shared" ref="E10:M10" si="1">IF(ISERROR(E53/E54),0,(E53/E54))</f>
        <v>0.95700399620430721</v>
      </c>
      <c r="F10" s="444">
        <f t="shared" si="1"/>
        <v>0.86867455793722603</v>
      </c>
      <c r="G10" s="447">
        <f t="shared" si="1"/>
        <v>0.96523128093539379</v>
      </c>
      <c r="H10" s="446">
        <f t="shared" si="1"/>
        <v>0.9869334685018718</v>
      </c>
      <c r="I10" s="444">
        <f t="shared" si="1"/>
        <v>0.95688873934477847</v>
      </c>
      <c r="J10" s="447">
        <f t="shared" si="1"/>
        <v>0.95688873934477847</v>
      </c>
      <c r="K10" s="448">
        <f t="shared" si="1"/>
        <v>0.97784385341868507</v>
      </c>
      <c r="L10" s="446">
        <f t="shared" si="1"/>
        <v>0.97784385343618829</v>
      </c>
      <c r="M10" s="444">
        <f t="shared" si="1"/>
        <v>0.97784385351716951</v>
      </c>
    </row>
    <row r="11" spans="1:15" x14ac:dyDescent="0.25">
      <c r="A11" s="203" t="s">
        <v>173</v>
      </c>
      <c r="B11" s="442" t="s">
        <v>1268</v>
      </c>
      <c r="C11" s="172">
        <v>7</v>
      </c>
      <c r="D11" s="500">
        <f>IF(ISERROR('A4-FinPerf RE'!C27/'SA10'!D43),0,('A4-FinPerf RE'!C27/'SA10'!D43))</f>
        <v>3.5453747805815908E-2</v>
      </c>
      <c r="E11" s="446">
        <f>IF(ISERROR('A4-FinPerf RE'!D27/'SA10'!E43),0,('A4-FinPerf RE'!D27/'SA10'!E43))</f>
        <v>9.0782838128790219E-2</v>
      </c>
      <c r="F11" s="444">
        <f>IF(ISERROR('A4-FinPerf RE'!E27/'SA10'!F43),0,('A4-FinPerf RE'!E27/'SA10'!F43))</f>
        <v>4.425147937575926E-2</v>
      </c>
      <c r="G11" s="447">
        <f>IF(ISERROR('A4-FinPerf RE'!F27/'SA10'!G43),0,('A4-FinPerf RE'!F27/'SA10'!G43))</f>
        <v>8.5550090201744797E-2</v>
      </c>
      <c r="H11" s="446">
        <f>IF(ISERROR('A4-FinPerf RE'!G27/'SA10'!H43),0,('A4-FinPerf RE'!G27/'SA10'!H43))</f>
        <v>8.5195374688731285E-2</v>
      </c>
      <c r="I11" s="444">
        <f>IF(ISERROR('A4-FinPerf RE'!H27/'SA10'!I43),0,('A4-FinPerf RE'!H27/'SA10'!I43))</f>
        <v>8.5195374688731285E-2</v>
      </c>
      <c r="J11" s="447">
        <f>IF(ISERROR('A4-FinPerf RE'!I27/'SA10'!J43),0,('A4-FinPerf RE'!I27/'SA10'!J43))</f>
        <v>8.5195374688731285E-2</v>
      </c>
      <c r="K11" s="448">
        <f>IF(ISERROR('A4-FinPerf RE'!J27/'SA10'!K43),0,('A4-FinPerf RE'!J27/'SA10'!K43))</f>
        <v>8.3977730825786703E-2</v>
      </c>
      <c r="L11" s="446">
        <f>IF(ISERROR('A4-FinPerf RE'!K27/'SA10'!L43),0,('A4-FinPerf RE'!K27/'SA10'!L43))</f>
        <v>8.3977730825786703E-2</v>
      </c>
      <c r="M11" s="444">
        <f>IF(ISERROR('A4-FinPerf RE'!L27/'SA10'!M43),0,('A4-FinPerf RE'!L27/'SA10'!M43))</f>
        <v>8.3977730825786703E-2</v>
      </c>
    </row>
    <row r="12" spans="1:15" x14ac:dyDescent="0.25">
      <c r="A12" s="203" t="s">
        <v>1717</v>
      </c>
      <c r="B12" s="442" t="s">
        <v>1269</v>
      </c>
      <c r="C12" s="172">
        <v>8</v>
      </c>
      <c r="D12" s="500">
        <f>IF(ISERROR(-'A7-CFlow'!C26/'A5-Capex'!C40),0,(-'A7-CFlow'!C26/'A5-Capex'!C40))</f>
        <v>0.60939822960628587</v>
      </c>
      <c r="E12" s="500">
        <f>IF(ISERROR(-'A7-CFlow'!D26/'A5-Capex'!D40),0,(-'A7-CFlow'!D26/'A5-Capex'!D40))</f>
        <v>0</v>
      </c>
      <c r="F12" s="444">
        <f>IF(ISERROR(-'A7-CFlow'!E26/'A5-Capex'!E40),0,(-'A7-CFlow'!E26/'A5-Capex'!E40))</f>
        <v>-1</v>
      </c>
      <c r="G12" s="1423">
        <f>IF(ISERROR(-'A7-CFlow'!F26/'A5-Capex'!F40),0,(-'A7-CFlow'!F26/'A5-Capex'!F40))</f>
        <v>1.0000000028242519</v>
      </c>
      <c r="H12" s="500">
        <f>IF(ISERROR(-'A7-CFlow'!G26/'A5-Capex'!G40),0,(-'A7-CFlow'!G26/'A5-Capex'!G40))</f>
        <v>1.0000000007304073</v>
      </c>
      <c r="I12" s="444">
        <f>IF(ISERROR(-'A7-CFlow'!H26/'A5-Capex'!H40),0,(-'A7-CFlow'!H26/'A5-Capex'!H40))</f>
        <v>1.0000000007304073</v>
      </c>
      <c r="J12" s="461">
        <f>IF(ISERROR(-'A7-CFlow'!I26/'A5-Capex'!I40),0,(-'A7-CFlow'!I26/'A5-Capex'!I40))</f>
        <v>1.0000000007304073</v>
      </c>
      <c r="K12" s="1423">
        <f>IF(ISERROR(-'A7-CFlow'!J26/'A5-Capex'!J40),0,(-'A7-CFlow'!J26/'A5-Capex'!J40))</f>
        <v>1</v>
      </c>
      <c r="L12" s="500">
        <f>IF(ISERROR(-'A7-CFlow'!K26/'A5-Capex'!K40),0,(-'A7-CFlow'!K26/'A5-Capex'!K40))</f>
        <v>0.99496673903058797</v>
      </c>
      <c r="M12" s="444">
        <f>IF(ISERROR(-'A7-CFlow'!L26/'A5-Capex'!L40),0,(-'A7-CFlow'!L26/'A5-Capex'!L40))</f>
        <v>0.98476168518168616</v>
      </c>
    </row>
    <row r="13" spans="1:15" x14ac:dyDescent="0.25">
      <c r="A13" s="203" t="s">
        <v>13</v>
      </c>
      <c r="B13" s="442" t="s">
        <v>412</v>
      </c>
      <c r="C13" s="172">
        <v>9</v>
      </c>
      <c r="D13" s="500">
        <f>IF(ISERROR('A7-CFlow'!C32/'SA10'!D52),0,('A7-CFlow'!C32/'SA10'!D52))</f>
        <v>0</v>
      </c>
      <c r="E13" s="446">
        <f>IF(ISERROR('A7-CFlow'!D32/'SA10'!E52),0,('A7-CFlow'!D32/'SA10'!E52))</f>
        <v>4.8457650235086164E-2</v>
      </c>
      <c r="F13" s="444">
        <f>IF(ISERROR('A7-CFlow'!E32/'SA10'!F52),0,('A7-CFlow'!E32/'SA10'!F52))</f>
        <v>0</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675</v>
      </c>
      <c r="B14" s="442" t="s">
        <v>411</v>
      </c>
      <c r="C14" s="172">
        <v>10</v>
      </c>
      <c r="D14" s="1561"/>
      <c r="E14" s="1562"/>
      <c r="F14" s="1563"/>
      <c r="G14" s="1564"/>
      <c r="H14" s="1562"/>
      <c r="I14" s="1563"/>
      <c r="J14" s="1564"/>
      <c r="K14" s="448">
        <f>IF(ISERROR(K56/K68),0,(K56/K68))</f>
        <v>0</v>
      </c>
      <c r="L14" s="446">
        <f>IF(ISERROR(L56/L68),0,(L56/L68))</f>
        <v>0</v>
      </c>
      <c r="M14" s="444">
        <f>IF(ISERROR(M56/M68),0,(M56/M68))</f>
        <v>0</v>
      </c>
      <c r="N14" s="1385"/>
      <c r="O14" s="1385"/>
    </row>
    <row r="15" spans="1:15" x14ac:dyDescent="0.25">
      <c r="A15" s="203" t="s">
        <v>676</v>
      </c>
      <c r="B15" s="442" t="s">
        <v>411</v>
      </c>
      <c r="C15" s="172">
        <v>11</v>
      </c>
      <c r="D15" s="499" t="s">
        <v>1382</v>
      </c>
      <c r="E15" s="446">
        <f>IF(ISERROR(ROUND((SUM('A6-FinPos'!D8:D10)-SUM('A6-FinPos'!C8:C10))/SUM('A6-FinPos'!C8:C10),3)),0,(ROUND((SUM('A6-FinPos'!D8:D10)-SUM('A6-FinPos'!C8:C10))/SUM('A6-FinPos'!C8:C10),3)))</f>
        <v>6.2640000000000002</v>
      </c>
      <c r="F15" s="444">
        <f>IF(ISERROR(ROUND((SUM('A6-FinPos'!E8:E10)-SUM('A6-FinPos'!D8:D10))/SUM('A6-FinPos'!D8:D10),3)),0,(ROUND((SUM('A6-FinPos'!E8:E10)-SUM('A6-FinPos'!D8:D10))/SUM('A6-FinPos'!D8:D10),3)))</f>
        <v>0.20899999999999999</v>
      </c>
      <c r="G15" s="447">
        <f>IF(ISERROR(ROUND((SUM('A6-FinPos'!F8:F10)-SUM('A6-FinPos'!E8:E10))/SUM('A6-FinPos'!E8:E10),3)),0,(ROUND((SUM('A6-FinPos'!F8:F10)-SUM('A6-FinPos'!E8:E10))/SUM('A6-FinPos'!E8:E10),3)))</f>
        <v>-0.874</v>
      </c>
      <c r="H15" s="446">
        <f>IF(ISERROR(ROUND((SUM('A6-FinPos'!G8:G10)-SUM('A6-FinPos'!F8:F10))/SUM('A6-FinPos'!F8:F10),3)),0,(ROUND((SUM('A6-FinPos'!G8:G10)-SUM('A6-FinPos'!F8:F10))/SUM('A6-FinPos'!F8:F10),3)))</f>
        <v>0</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0.06</v>
      </c>
      <c r="L15" s="446">
        <f>IF(ISERROR(ROUND((SUM('A6-FinPos'!K8:K10)-SUM('A6-FinPos'!J8:J10))/SUM('A6-FinPos'!J8:J10),3)),0,(ROUND((SUM('A6-FinPos'!K8:K10)-SUM('A6-FinPos'!J8:J10))/SUM('A6-FinPos'!J8:J10),3)))</f>
        <v>0.06</v>
      </c>
      <c r="M15" s="444">
        <f>IF(ISERROR(ROUND((SUM('A6-FinPos'!L8:L10)-SUM('A6-FinPos'!K8:K10))/SUM('A6-FinPos'!K8:K10),3)),0,(ROUND((SUM('A6-FinPos'!L8:L10)-SUM('A6-FinPos'!K8:K10))/SUM('A6-FinPos'!K8:K10),3)))</f>
        <v>0.06</v>
      </c>
    </row>
    <row r="16" spans="1:15" x14ac:dyDescent="0.25">
      <c r="A16" s="68" t="s">
        <v>1380</v>
      </c>
      <c r="B16" s="434" t="s">
        <v>411</v>
      </c>
      <c r="C16" s="171">
        <v>12</v>
      </c>
      <c r="D16" s="499" t="s">
        <v>1382</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1272</v>
      </c>
      <c r="C17" s="171">
        <v>13</v>
      </c>
      <c r="D17" s="500">
        <f>IF(ISERROR('A9-Asset'!C69/'A6-FinPos'!C19),0,('A9-Asset'!C69/'A6-FinPos'!C19))</f>
        <v>0</v>
      </c>
      <c r="E17" s="500">
        <f>IF(ISERROR('A9-Asset'!D69/'A6-FinPos'!D19),0,('A9-Asset'!D69/'A6-FinPos'!D19))</f>
        <v>1.1641322967969896E-2</v>
      </c>
      <c r="F17" s="444">
        <f>IF(ISERROR('A9-Asset'!E69/'A6-FinPos'!E19),0,('A9-Asset'!E69/'A6-FinPos'!E19))</f>
        <v>9.928932731641766E-3</v>
      </c>
      <c r="G17" s="1423">
        <f>IF(ISERROR('A9-Asset'!F69/'A6-FinPos'!F19),0,('A9-Asset'!F69/'A6-FinPos'!F19))</f>
        <v>0.17319131435950544</v>
      </c>
      <c r="H17" s="500">
        <f>IF(ISERROR('A9-Asset'!G69/'A6-FinPos'!G19),0,('A9-Asset'!G69/'A6-FinPos'!G19))</f>
        <v>0.16275481326633681</v>
      </c>
      <c r="I17" s="444">
        <f>IF(ISERROR('A9-Asset'!H69/'A6-FinPos'!H19),0,('A9-Asset'!H69/'A6-FinPos'!H19))</f>
        <v>0.16275481326633681</v>
      </c>
      <c r="J17" s="462">
        <f>IF(ISERROR('A9-Asset'!I69/'A6-FinPos'!I19),0,('A9-Asset'!I69/'A6-FinPos'!I19))</f>
        <v>0.16740750015981995</v>
      </c>
      <c r="K17" s="1423">
        <f>IF(ISERROR('A9-Asset'!I69/'A6-FinPos'!J19),0,('A9-Asset'!I69/'A6-FinPos'!J19))</f>
        <v>0.15793160392435845</v>
      </c>
      <c r="L17" s="500">
        <f>IF(ISERROR('A9-Asset'!J69/'A6-FinPos'!K19),0,('A9-Asset'!J69/'A6-FinPos'!K19))</f>
        <v>0.15793160405408063</v>
      </c>
      <c r="M17" s="444">
        <f>IF(ISERROR('A9-Asset'!K69/'A6-FinPos'!L19),0,('A9-Asset'!K69/'A6-FinPos'!L19))</f>
        <v>0.15793160391023114</v>
      </c>
    </row>
    <row r="18" spans="1:13" x14ac:dyDescent="0.25">
      <c r="A18" s="68" t="s">
        <v>940</v>
      </c>
      <c r="B18" s="449" t="str">
        <f>B17</f>
        <v>20(1)(vi)</v>
      </c>
      <c r="C18" s="171">
        <v>14</v>
      </c>
      <c r="D18" s="500">
        <f t="shared" ref="D18:L18" si="2">IF(ISERROR(D58/D57),0,(D58/D57))</f>
        <v>0.5215115725590842</v>
      </c>
      <c r="E18" s="446">
        <f t="shared" si="2"/>
        <v>9.1935215116363461E-2</v>
      </c>
      <c r="F18" s="444">
        <f t="shared" si="2"/>
        <v>0</v>
      </c>
      <c r="G18" s="445">
        <f t="shared" si="2"/>
        <v>0.16864315581455641</v>
      </c>
      <c r="H18" s="446">
        <f t="shared" si="2"/>
        <v>9.6793590810284061E-2</v>
      </c>
      <c r="I18" s="444">
        <f t="shared" si="2"/>
        <v>9.6793590810284061E-2</v>
      </c>
      <c r="J18" s="447">
        <f t="shared" si="2"/>
        <v>0</v>
      </c>
      <c r="K18" s="448">
        <f t="shared" si="2"/>
        <v>0.33723536564241069</v>
      </c>
      <c r="L18" s="446">
        <f t="shared" si="2"/>
        <v>0.33968630847246467</v>
      </c>
      <c r="M18" s="444">
        <f>IF(ISERROR(M58/M57),0,((M58/M57)))</f>
        <v>0.33620225523981473</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1340</v>
      </c>
      <c r="B22" s="457"/>
      <c r="C22" s="457"/>
      <c r="D22" s="457"/>
      <c r="E22" s="457"/>
      <c r="F22" s="457"/>
      <c r="G22" s="457"/>
      <c r="H22" s="457"/>
      <c r="I22" s="457"/>
      <c r="J22" s="457"/>
      <c r="K22" s="457"/>
      <c r="L22" s="457"/>
      <c r="M22" s="457"/>
    </row>
    <row r="23" spans="1:13" x14ac:dyDescent="0.25">
      <c r="A23" s="165" t="s">
        <v>642</v>
      </c>
      <c r="B23" s="457"/>
      <c r="C23" s="457"/>
      <c r="D23" s="457"/>
      <c r="E23" s="457"/>
      <c r="F23" s="457"/>
      <c r="G23" s="457"/>
      <c r="H23" s="457"/>
      <c r="I23" s="457"/>
      <c r="J23" s="457"/>
      <c r="K23" s="457"/>
      <c r="L23" s="457"/>
      <c r="M23" s="457"/>
    </row>
    <row r="24" spans="1:13" x14ac:dyDescent="0.25">
      <c r="A24" s="165" t="s">
        <v>643</v>
      </c>
      <c r="B24" s="457"/>
      <c r="C24" s="457"/>
      <c r="D24" s="457"/>
      <c r="E24" s="457"/>
      <c r="F24" s="457"/>
      <c r="G24" s="457"/>
      <c r="H24" s="457"/>
      <c r="I24" s="457"/>
      <c r="J24" s="457"/>
      <c r="K24" s="457"/>
      <c r="L24" s="457"/>
      <c r="M24" s="457"/>
    </row>
    <row r="25" spans="1:13" x14ac:dyDescent="0.25">
      <c r="A25" s="165" t="s">
        <v>741</v>
      </c>
      <c r="B25" s="457"/>
      <c r="C25" s="457"/>
      <c r="D25" s="457"/>
      <c r="E25" s="457"/>
      <c r="F25" s="457"/>
      <c r="G25" s="457"/>
      <c r="H25" s="457"/>
      <c r="I25" s="457"/>
      <c r="J25" s="457"/>
      <c r="K25" s="457"/>
      <c r="L25" s="457"/>
      <c r="M25" s="457"/>
    </row>
    <row r="26" spans="1:13" x14ac:dyDescent="0.25">
      <c r="A26" s="165" t="s">
        <v>1002</v>
      </c>
      <c r="B26" s="457"/>
      <c r="C26" s="457"/>
      <c r="D26" s="457"/>
      <c r="E26" s="457"/>
      <c r="F26" s="457"/>
      <c r="G26" s="457"/>
      <c r="H26" s="457"/>
      <c r="I26" s="457"/>
      <c r="J26" s="457"/>
      <c r="K26" s="457"/>
      <c r="L26" s="457"/>
      <c r="M26" s="457"/>
    </row>
    <row r="27" spans="1:13" x14ac:dyDescent="0.25">
      <c r="A27" s="165" t="s">
        <v>632</v>
      </c>
      <c r="B27" s="457"/>
      <c r="C27" s="457"/>
      <c r="D27" s="457"/>
      <c r="E27" s="457"/>
      <c r="F27" s="457"/>
      <c r="G27" s="457"/>
      <c r="H27" s="457"/>
      <c r="I27" s="457"/>
      <c r="J27" s="457"/>
      <c r="K27" s="457"/>
      <c r="L27" s="457"/>
      <c r="M27" s="457"/>
    </row>
    <row r="28" spans="1:13" x14ac:dyDescent="0.25">
      <c r="A28" s="165" t="s">
        <v>1001</v>
      </c>
      <c r="B28" s="457"/>
      <c r="C28" s="457"/>
      <c r="D28" s="457"/>
      <c r="E28" s="457"/>
      <c r="F28" s="457"/>
      <c r="G28" s="457"/>
      <c r="H28" s="457"/>
      <c r="I28" s="457"/>
      <c r="J28" s="457"/>
      <c r="K28" s="457"/>
      <c r="L28" s="457"/>
      <c r="M28" s="457"/>
    </row>
    <row r="29" spans="1:13" x14ac:dyDescent="0.25">
      <c r="A29" s="165" t="s">
        <v>1165</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1700</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633</v>
      </c>
      <c r="B33" s="457"/>
      <c r="C33" s="457"/>
      <c r="D33" s="457"/>
      <c r="E33" s="457"/>
      <c r="F33" s="457"/>
      <c r="G33" s="457"/>
      <c r="H33" s="457"/>
      <c r="I33" s="457"/>
      <c r="J33" s="457"/>
      <c r="K33" s="457"/>
      <c r="L33" s="457"/>
      <c r="M33" s="457"/>
    </row>
    <row r="34" spans="1:18" x14ac:dyDescent="0.25">
      <c r="A34" s="165" t="s">
        <v>634</v>
      </c>
      <c r="B34" s="457"/>
      <c r="C34" s="457"/>
      <c r="D34" s="457"/>
      <c r="E34" s="457"/>
      <c r="F34" s="457"/>
      <c r="G34" s="457"/>
      <c r="H34" s="457"/>
      <c r="I34" s="457"/>
      <c r="J34" s="457"/>
      <c r="K34" s="457"/>
      <c r="L34" s="457"/>
      <c r="M34" s="457"/>
    </row>
    <row r="35" spans="1:18" x14ac:dyDescent="0.25">
      <c r="A35" s="1551" t="s">
        <v>1169</v>
      </c>
      <c r="B35" s="1552"/>
      <c r="C35" s="1552"/>
      <c r="D35" s="1579"/>
      <c r="E35" s="1580"/>
      <c r="F35" s="1581"/>
      <c r="G35" s="278"/>
      <c r="H35" s="276"/>
      <c r="I35" s="276"/>
      <c r="J35" s="1581"/>
      <c r="K35" s="278"/>
      <c r="L35" s="276"/>
      <c r="M35" s="1581"/>
    </row>
    <row r="36" spans="1:18" x14ac:dyDescent="0.25">
      <c r="A36" s="459" t="s">
        <v>861</v>
      </c>
      <c r="B36" s="460" t="s">
        <v>411</v>
      </c>
      <c r="C36" s="460"/>
      <c r="D36" s="1484"/>
      <c r="E36" s="1582">
        <f t="shared" ref="E36:E42" si="3">IF(ISERROR((E44/D44)-1),0,((E44/D44)-1))</f>
        <v>0.31393917008591354</v>
      </c>
      <c r="F36" s="444">
        <f>IF(ISERROR((F44/E44)-1),0,((F44/E44)-1))</f>
        <v>-4.3142808140527178E-3</v>
      </c>
      <c r="G36" s="1584">
        <f>IF(ISERROR((G44/F44)-1),0,((G44/F44)-1))</f>
        <v>0.21218415153124215</v>
      </c>
      <c r="H36" s="1582">
        <f>IF(ISERROR((H44/G44)-1),0,((H44/G44)-1))</f>
        <v>4.163553647243301E-3</v>
      </c>
      <c r="I36" s="1582">
        <f>IF(ISERROR((I44/H44)-1),0,((I44/H44)-1))</f>
        <v>0</v>
      </c>
      <c r="J36" s="1585">
        <f>IF(ISERROR((J44/I44)-1),0,((J44/I44)-1))</f>
        <v>0</v>
      </c>
      <c r="K36" s="448">
        <f>IF(ISERROR((K44/H44)-1),0,((K44/H44)-1))</f>
        <v>7.5369580506989831E-2</v>
      </c>
      <c r="L36" s="500">
        <f>IF(ISERROR((L44/K44)-1),0,((L44/K44)-1))</f>
        <v>6.0000000000000053E-2</v>
      </c>
      <c r="M36" s="444">
        <f>IF(ISERROR((M44/L44)-1),0,((M44/L44)-1))</f>
        <v>6.0000000000000053E-2</v>
      </c>
      <c r="Q36" s="188"/>
      <c r="R36" s="188"/>
    </row>
    <row r="37" spans="1:18" x14ac:dyDescent="0.25">
      <c r="A37" s="459" t="s">
        <v>862</v>
      </c>
      <c r="B37" s="460" t="s">
        <v>411</v>
      </c>
      <c r="C37" s="460"/>
      <c r="D37" s="1484"/>
      <c r="E37" s="1582">
        <f t="shared" si="3"/>
        <v>1.4348126149901539</v>
      </c>
      <c r="F37" s="444">
        <f t="shared" ref="F37:M42" si="4">IF(ISERROR((F45/E45)-1),0,((F45/E45)-1))</f>
        <v>-0.13606810060954244</v>
      </c>
      <c r="G37" s="1584">
        <f t="shared" si="4"/>
        <v>2.5569436357047781E-2</v>
      </c>
      <c r="H37" s="1582">
        <f t="shared" si="4"/>
        <v>1.2705350556833972E-2</v>
      </c>
      <c r="I37" s="1582">
        <f t="shared" si="4"/>
        <v>0</v>
      </c>
      <c r="J37" s="1585">
        <f t="shared" si="4"/>
        <v>0</v>
      </c>
      <c r="K37" s="448">
        <f t="shared" ref="K37:K42" si="5">IF(ISERROR((K45/H45)-1),0,((K45/H45)-1))</f>
        <v>6.0000000000000053E-2</v>
      </c>
      <c r="L37" s="500">
        <f t="shared" si="4"/>
        <v>5.9999999999999831E-2</v>
      </c>
      <c r="M37" s="444">
        <f t="shared" si="4"/>
        <v>6.0000000000000053E-2</v>
      </c>
      <c r="Q37" s="188"/>
      <c r="R37" s="188"/>
    </row>
    <row r="38" spans="1:18" x14ac:dyDescent="0.25">
      <c r="A38" s="459" t="str">
        <f>"% incr "&amp;'A4-FinPerf RE'!A7</f>
        <v>% incr Service charges - electricity revenue</v>
      </c>
      <c r="B38" s="460" t="s">
        <v>411</v>
      </c>
      <c r="C38" s="460"/>
      <c r="D38" s="1484"/>
      <c r="E38" s="1582">
        <f t="shared" si="3"/>
        <v>-4.4461467294455548E-2</v>
      </c>
      <c r="F38" s="444">
        <f t="shared" si="4"/>
        <v>9.6944504311056168E-2</v>
      </c>
      <c r="G38" s="1584">
        <f t="shared" si="4"/>
        <v>0.34699928863189688</v>
      </c>
      <c r="H38" s="1582">
        <f t="shared" si="4"/>
        <v>0</v>
      </c>
      <c r="I38" s="1582">
        <f t="shared" si="4"/>
        <v>0</v>
      </c>
      <c r="J38" s="1585">
        <f t="shared" si="4"/>
        <v>0</v>
      </c>
      <c r="K38" s="448">
        <f t="shared" si="5"/>
        <v>7.8600000000000003E-2</v>
      </c>
      <c r="L38" s="500">
        <f t="shared" si="4"/>
        <v>5.9999999999999831E-2</v>
      </c>
      <c r="M38" s="444">
        <f>IF(ISERROR((M46/L46)-1),0,((M46/L46)-1))</f>
        <v>6.0000000000000053E-2</v>
      </c>
      <c r="Q38" s="188"/>
      <c r="R38" s="188"/>
    </row>
    <row r="39" spans="1:18" x14ac:dyDescent="0.25">
      <c r="A39" s="459" t="str">
        <f>"% incr "&amp;'A4-FinPerf RE'!A8</f>
        <v>% incr Service charges - water revenue</v>
      </c>
      <c r="B39" s="460" t="s">
        <v>411</v>
      </c>
      <c r="C39" s="460"/>
      <c r="D39" s="1484"/>
      <c r="E39" s="1582">
        <f t="shared" si="3"/>
        <v>0</v>
      </c>
      <c r="F39" s="444">
        <f t="shared" si="4"/>
        <v>0</v>
      </c>
      <c r="G39" s="1584">
        <f t="shared" si="4"/>
        <v>0</v>
      </c>
      <c r="H39" s="1582">
        <f t="shared" si="4"/>
        <v>0</v>
      </c>
      <c r="I39" s="1582">
        <f t="shared" si="4"/>
        <v>0</v>
      </c>
      <c r="J39" s="1585">
        <f t="shared" si="4"/>
        <v>0</v>
      </c>
      <c r="K39" s="448">
        <f t="shared" si="5"/>
        <v>0</v>
      </c>
      <c r="L39" s="500">
        <f t="shared" si="4"/>
        <v>0</v>
      </c>
      <c r="M39" s="444">
        <f t="shared" si="4"/>
        <v>0</v>
      </c>
      <c r="Q39" s="188"/>
      <c r="R39" s="188"/>
    </row>
    <row r="40" spans="1:18" x14ac:dyDescent="0.25">
      <c r="A40" s="459" t="str">
        <f>"% incr "&amp;'A4-FinPerf RE'!A9</f>
        <v>% incr Service charges - sanitation revenue</v>
      </c>
      <c r="B40" s="460" t="s">
        <v>411</v>
      </c>
      <c r="C40" s="460"/>
      <c r="D40" s="1484"/>
      <c r="E40" s="1582">
        <f t="shared" si="3"/>
        <v>0</v>
      </c>
      <c r="F40" s="444">
        <f t="shared" si="4"/>
        <v>0</v>
      </c>
      <c r="G40" s="1584">
        <f t="shared" si="4"/>
        <v>0</v>
      </c>
      <c r="H40" s="1582">
        <f t="shared" si="4"/>
        <v>0</v>
      </c>
      <c r="I40" s="1582">
        <f t="shared" si="4"/>
        <v>0</v>
      </c>
      <c r="J40" s="1585">
        <f t="shared" si="4"/>
        <v>0</v>
      </c>
      <c r="K40" s="448">
        <f t="shared" si="5"/>
        <v>0</v>
      </c>
      <c r="L40" s="500">
        <f t="shared" si="4"/>
        <v>0</v>
      </c>
      <c r="M40" s="444">
        <f t="shared" si="4"/>
        <v>0</v>
      </c>
      <c r="Q40" s="188"/>
      <c r="R40" s="188"/>
    </row>
    <row r="41" spans="1:18" x14ac:dyDescent="0.25">
      <c r="A41" s="459" t="str">
        <f>"% incr "&amp;'A4-FinPerf RE'!A10</f>
        <v>% incr Service charges - refuse revenue</v>
      </c>
      <c r="B41" s="460" t="s">
        <v>411</v>
      </c>
      <c r="C41" s="460"/>
      <c r="D41" s="1484"/>
      <c r="E41" s="1582">
        <f t="shared" si="3"/>
        <v>-9.0710768512862749E-3</v>
      </c>
      <c r="F41" s="444">
        <f t="shared" si="4"/>
        <v>0.16019412144636336</v>
      </c>
      <c r="G41" s="1584">
        <f t="shared" si="4"/>
        <v>0.14396794440794558</v>
      </c>
      <c r="H41" s="1582">
        <f t="shared" si="4"/>
        <v>0</v>
      </c>
      <c r="I41" s="1582">
        <f t="shared" si="4"/>
        <v>0</v>
      </c>
      <c r="J41" s="1585">
        <f t="shared" si="4"/>
        <v>0</v>
      </c>
      <c r="K41" s="448">
        <f t="shared" si="5"/>
        <v>0.1396813114618658</v>
      </c>
      <c r="L41" s="500">
        <f t="shared" si="4"/>
        <v>5.9999999999999609E-2</v>
      </c>
      <c r="M41" s="444">
        <f t="shared" si="4"/>
        <v>6.0000000000000053E-2</v>
      </c>
      <c r="Q41" s="188"/>
      <c r="R41" s="188"/>
    </row>
    <row r="42" spans="1:18" x14ac:dyDescent="0.25">
      <c r="A42" s="459" t="str">
        <f>"% incr in "&amp;'A4-FinPerf RE'!A11</f>
        <v>% incr in Service charges - other</v>
      </c>
      <c r="B42" s="460" t="s">
        <v>411</v>
      </c>
      <c r="C42" s="460"/>
      <c r="D42" s="1484"/>
      <c r="E42" s="1582">
        <f t="shared" si="3"/>
        <v>0</v>
      </c>
      <c r="F42" s="444">
        <f t="shared" si="4"/>
        <v>0</v>
      </c>
      <c r="G42" s="1584">
        <f t="shared" si="4"/>
        <v>0</v>
      </c>
      <c r="H42" s="1582">
        <f t="shared" si="4"/>
        <v>0</v>
      </c>
      <c r="I42" s="1582">
        <f>IF(ISERROR((I50/H50)-1),0,((I50/H50)-1))</f>
        <v>0</v>
      </c>
      <c r="J42" s="1585">
        <f t="shared" si="4"/>
        <v>0</v>
      </c>
      <c r="K42" s="448">
        <f t="shared" si="5"/>
        <v>0</v>
      </c>
      <c r="L42" s="500">
        <f>IF(ISERROR((L50/K50)-1),0,((L50/K50)-1))</f>
        <v>0</v>
      </c>
      <c r="M42" s="444">
        <f t="shared" si="4"/>
        <v>0</v>
      </c>
      <c r="Q42" s="188"/>
      <c r="R42" s="188"/>
    </row>
    <row r="43" spans="1:18" x14ac:dyDescent="0.25">
      <c r="A43" s="459" t="s">
        <v>732</v>
      </c>
      <c r="B43" s="460" t="s">
        <v>411</v>
      </c>
      <c r="C43" s="460"/>
      <c r="D43" s="1130">
        <f>SUM(D45:D50)</f>
        <v>50858374.969999999</v>
      </c>
      <c r="E43" s="70">
        <f t="shared" ref="E43:M43" si="6">SUM(E45:E50)</f>
        <v>66824811</v>
      </c>
      <c r="F43" s="1131">
        <f t="shared" si="6"/>
        <v>66536510</v>
      </c>
      <c r="G43" s="1130">
        <f t="shared" si="6"/>
        <v>80654502.920200005</v>
      </c>
      <c r="H43" s="70">
        <f t="shared" si="6"/>
        <v>80990312.269999996</v>
      </c>
      <c r="I43" s="70">
        <f t="shared" si="6"/>
        <v>80990312.269999996</v>
      </c>
      <c r="J43" s="1131">
        <f t="shared" si="6"/>
        <v>80990312.269999996</v>
      </c>
      <c r="K43" s="1130">
        <f t="shared" si="6"/>
        <v>87094518.130920008</v>
      </c>
      <c r="L43" s="70">
        <f t="shared" si="6"/>
        <v>92320189.218775213</v>
      </c>
      <c r="M43" s="1131">
        <f t="shared" si="6"/>
        <v>97859400.571901724</v>
      </c>
    </row>
    <row r="44" spans="1:18" x14ac:dyDescent="0.25">
      <c r="A44" s="459" t="s">
        <v>1535</v>
      </c>
      <c r="B44" s="460"/>
      <c r="C44" s="460"/>
      <c r="D44" s="1130">
        <f>SUM(D45:D50)</f>
        <v>50858374.969999999</v>
      </c>
      <c r="E44" s="70">
        <f t="shared" ref="E44:M44" si="7">SUM(E45:E50)</f>
        <v>66824811</v>
      </c>
      <c r="F44" s="1131">
        <f t="shared" si="7"/>
        <v>66536510</v>
      </c>
      <c r="G44" s="1130">
        <f t="shared" si="7"/>
        <v>80654502.920200005</v>
      </c>
      <c r="H44" s="70">
        <f t="shared" si="7"/>
        <v>80990312.269999996</v>
      </c>
      <c r="I44" s="70">
        <f t="shared" si="7"/>
        <v>80990312.269999996</v>
      </c>
      <c r="J44" s="1131">
        <f>SUM(J45:J50)</f>
        <v>80990312.269999996</v>
      </c>
      <c r="K44" s="1130">
        <f t="shared" si="7"/>
        <v>87094518.130920008</v>
      </c>
      <c r="L44" s="70">
        <f t="shared" si="7"/>
        <v>92320189.218775213</v>
      </c>
      <c r="M44" s="1131">
        <f t="shared" si="7"/>
        <v>97859400.571901724</v>
      </c>
    </row>
    <row r="45" spans="1:18" x14ac:dyDescent="0.25">
      <c r="A45" s="459" t="s">
        <v>516</v>
      </c>
      <c r="B45" s="460"/>
      <c r="C45" s="460"/>
      <c r="D45" s="1130">
        <f>'A4-FinPerf RE'!C5+'A4-FinPerf RE'!C6</f>
        <v>12251690.26</v>
      </c>
      <c r="E45" s="70">
        <f>'A4-FinPerf RE'!D5+'A4-FinPerf RE'!D6</f>
        <v>29830570</v>
      </c>
      <c r="F45" s="1131">
        <f>'A4-FinPerf RE'!E5+'A4-FinPerf RE'!E6</f>
        <v>25771581</v>
      </c>
      <c r="G45" s="1130">
        <f>'A4-FinPerf RE'!F5+'A4-FinPerf RE'!F6</f>
        <v>26430545.8002</v>
      </c>
      <c r="H45" s="70">
        <f>'A4-FinPerf RE'!G5+'A4-FinPerf RE'!G6</f>
        <v>26766355.149999999</v>
      </c>
      <c r="I45" s="70">
        <f>'A4-FinPerf RE'!H5+'A4-FinPerf RE'!H6</f>
        <v>26766355.149999999</v>
      </c>
      <c r="J45" s="1131">
        <f>'A4-FinPerf RE'!I5+'A4-FinPerf RE'!I6</f>
        <v>26766355.149999999</v>
      </c>
      <c r="K45" s="1130">
        <f>'A4-FinPerf RE'!J5+'A4-FinPerf RE'!J6</f>
        <v>28372336.459000003</v>
      </c>
      <c r="L45" s="70">
        <f>'A4-FinPerf RE'!K5+'A4-FinPerf RE'!K6</f>
        <v>30074676.646540001</v>
      </c>
      <c r="M45" s="1131">
        <f>'A4-FinPerf RE'!L5+'A4-FinPerf RE'!L6</f>
        <v>31879157.245332401</v>
      </c>
    </row>
    <row r="46" spans="1:18" x14ac:dyDescent="0.25">
      <c r="A46" s="459" t="s">
        <v>1706</v>
      </c>
      <c r="B46" s="460"/>
      <c r="C46" s="460"/>
      <c r="D46" s="1130">
        <f>'A4-FinPerf RE'!C7</f>
        <v>35666165.030000001</v>
      </c>
      <c r="E46" s="70">
        <f>'A4-FinPerf RE'!D7</f>
        <v>34080395</v>
      </c>
      <c r="F46" s="1131">
        <f>'A4-FinPerf RE'!E7</f>
        <v>37384302</v>
      </c>
      <c r="G46" s="1130">
        <f>'A4-FinPerf RE'!F7</f>
        <v>50356628.200000003</v>
      </c>
      <c r="H46" s="70">
        <f>'A4-FinPerf RE'!G7</f>
        <v>50356628.200000003</v>
      </c>
      <c r="I46" s="70">
        <f>'A4-FinPerf RE'!H7</f>
        <v>50356628.200000003</v>
      </c>
      <c r="J46" s="1131">
        <f>'A4-FinPerf RE'!I7</f>
        <v>50356628.200000003</v>
      </c>
      <c r="K46" s="1130">
        <f>'A4-FinPerf RE'!J7</f>
        <v>54314659.176520005</v>
      </c>
      <c r="L46" s="70">
        <f>'A4-FinPerf RE'!K7</f>
        <v>57573538.727111198</v>
      </c>
      <c r="M46" s="1131">
        <f>'A4-FinPerf RE'!L7</f>
        <v>61027951.050737873</v>
      </c>
    </row>
    <row r="47" spans="1:18" x14ac:dyDescent="0.25">
      <c r="A47" s="459" t="s">
        <v>1707</v>
      </c>
      <c r="B47" s="460"/>
      <c r="C47" s="460"/>
      <c r="D47" s="1130">
        <f>'A4-FinPerf RE'!C8</f>
        <v>0</v>
      </c>
      <c r="E47" s="70">
        <f>'A4-FinPerf RE'!D8</f>
        <v>0</v>
      </c>
      <c r="F47" s="1131">
        <f>'A4-FinPerf RE'!E8</f>
        <v>0</v>
      </c>
      <c r="G47" s="1130">
        <f>'A4-FinPerf RE'!F8</f>
        <v>0</v>
      </c>
      <c r="H47" s="70">
        <f>'A4-FinPerf RE'!G8</f>
        <v>0</v>
      </c>
      <c r="I47" s="70">
        <f>'A4-FinPerf RE'!H8</f>
        <v>0</v>
      </c>
      <c r="J47" s="1131">
        <f>'A4-FinPerf RE'!I8</f>
        <v>0</v>
      </c>
      <c r="K47" s="1130">
        <f>'A4-FinPerf RE'!J8</f>
        <v>0</v>
      </c>
      <c r="L47" s="70">
        <f>'A4-FinPerf RE'!K8</f>
        <v>0</v>
      </c>
      <c r="M47" s="1131">
        <f>'A4-FinPerf RE'!L8</f>
        <v>0</v>
      </c>
    </row>
    <row r="48" spans="1:18" x14ac:dyDescent="0.25">
      <c r="A48" s="459" t="s">
        <v>886</v>
      </c>
      <c r="B48" s="460"/>
      <c r="C48" s="460"/>
      <c r="D48" s="1130">
        <f>'A4-FinPerf RE'!C9</f>
        <v>0</v>
      </c>
      <c r="E48" s="70">
        <f>'A4-FinPerf RE'!D9</f>
        <v>0</v>
      </c>
      <c r="F48" s="1131">
        <f>'A4-FinPerf RE'!E9</f>
        <v>0</v>
      </c>
      <c r="G48" s="1130">
        <f>'A4-FinPerf RE'!F9</f>
        <v>0</v>
      </c>
      <c r="H48" s="70">
        <f>'A4-FinPerf RE'!G9</f>
        <v>0</v>
      </c>
      <c r="I48" s="70">
        <f>'A4-FinPerf RE'!H9</f>
        <v>0</v>
      </c>
      <c r="J48" s="1131">
        <f>'A4-FinPerf RE'!I9</f>
        <v>0</v>
      </c>
      <c r="K48" s="1130">
        <f>'A4-FinPerf RE'!J9</f>
        <v>0</v>
      </c>
      <c r="L48" s="70">
        <f>'A4-FinPerf RE'!K9</f>
        <v>0</v>
      </c>
      <c r="M48" s="1131">
        <f>'A4-FinPerf RE'!L9</f>
        <v>0</v>
      </c>
    </row>
    <row r="49" spans="1:13" x14ac:dyDescent="0.25">
      <c r="A49" s="459" t="s">
        <v>887</v>
      </c>
      <c r="B49" s="460"/>
      <c r="C49" s="460"/>
      <c r="D49" s="1130">
        <f>'A4-FinPerf RE'!C10</f>
        <v>2940519.6799999997</v>
      </c>
      <c r="E49" s="70">
        <f>'A4-FinPerf RE'!D10</f>
        <v>2913846</v>
      </c>
      <c r="F49" s="1131">
        <f>'A4-FinPerf RE'!E10</f>
        <v>3380627</v>
      </c>
      <c r="G49" s="1130">
        <f>'A4-FinPerf RE'!F10</f>
        <v>3867328.92</v>
      </c>
      <c r="H49" s="70">
        <f>'A4-FinPerf RE'!G10</f>
        <v>3867328.92</v>
      </c>
      <c r="I49" s="70">
        <f>'A4-FinPerf RE'!H10</f>
        <v>3867328.92</v>
      </c>
      <c r="J49" s="1131">
        <f>'A4-FinPerf RE'!I10</f>
        <v>3867328.92</v>
      </c>
      <c r="K49" s="1130">
        <f>'A4-FinPerf RE'!J10</f>
        <v>4407522.4954000013</v>
      </c>
      <c r="L49" s="70">
        <f>'A4-FinPerf RE'!K10</f>
        <v>4671973.8451239998</v>
      </c>
      <c r="M49" s="1131">
        <f>'A4-FinPerf RE'!L10</f>
        <v>4952292.2758314405</v>
      </c>
    </row>
    <row r="50" spans="1:13" x14ac:dyDescent="0.25">
      <c r="A50" s="459" t="s">
        <v>888</v>
      </c>
      <c r="B50" s="460"/>
      <c r="C50" s="460"/>
      <c r="D50" s="1130">
        <f>'A4-FinPerf RE'!C11</f>
        <v>0</v>
      </c>
      <c r="E50" s="70">
        <f>'A4-FinPerf RE'!D11</f>
        <v>0</v>
      </c>
      <c r="F50" s="1131">
        <f>'A4-FinPerf RE'!E11</f>
        <v>0</v>
      </c>
      <c r="G50" s="1130">
        <f>'A4-FinPerf RE'!F11</f>
        <v>0</v>
      </c>
      <c r="H50" s="70">
        <f>'A4-FinPerf RE'!G11</f>
        <v>0</v>
      </c>
      <c r="I50" s="70">
        <f>'A4-FinPerf RE'!H11</f>
        <v>0</v>
      </c>
      <c r="J50" s="1131">
        <f>'A4-FinPerf RE'!I11</f>
        <v>0</v>
      </c>
      <c r="K50" s="1130">
        <f>'A4-FinPerf RE'!J11</f>
        <v>0</v>
      </c>
      <c r="L50" s="70">
        <f>'A4-FinPerf RE'!K11</f>
        <v>0</v>
      </c>
      <c r="M50" s="1131">
        <f>'A4-FinPerf RE'!L11</f>
        <v>0</v>
      </c>
    </row>
    <row r="51" spans="1:13" x14ac:dyDescent="0.25">
      <c r="A51" s="459" t="str">
        <f>'A4-FinPerf RE'!A12</f>
        <v>Rental of facilities and equipment</v>
      </c>
      <c r="B51" s="460"/>
      <c r="C51" s="460"/>
      <c r="D51" s="1130">
        <f>'A4-FinPerf RE'!C12</f>
        <v>107456</v>
      </c>
      <c r="E51" s="70">
        <f>'A4-FinPerf RE'!D12</f>
        <v>158352</v>
      </c>
      <c r="F51" s="1131">
        <f>'A4-FinPerf RE'!E12</f>
        <v>123685</v>
      </c>
      <c r="G51" s="1130">
        <f>'A4-FinPerf RE'!F12</f>
        <v>197429.9</v>
      </c>
      <c r="H51" s="70">
        <f>'A4-FinPerf RE'!G12</f>
        <v>197429.9</v>
      </c>
      <c r="I51" s="70">
        <f>'A4-FinPerf RE'!H12</f>
        <v>197429.9</v>
      </c>
      <c r="J51" s="1131">
        <f>'A4-FinPerf RE'!I12</f>
        <v>197429.9</v>
      </c>
      <c r="K51" s="1130">
        <f>'A4-FinPerf RE'!J12</f>
        <v>209275.69400000002</v>
      </c>
      <c r="L51" s="70">
        <f>'A4-FinPerf RE'!K12</f>
        <v>221832.23564</v>
      </c>
      <c r="M51" s="1131">
        <f>'A4-FinPerf RE'!L12</f>
        <v>235142.16977840001</v>
      </c>
    </row>
    <row r="52" spans="1:13" x14ac:dyDescent="0.25">
      <c r="A52" s="459" t="s">
        <v>934</v>
      </c>
      <c r="B52" s="460"/>
      <c r="C52" s="460"/>
      <c r="D52" s="1130">
        <f>'A5-Capex'!C40-'A5-Capex'!C70</f>
        <v>29338428.289999999</v>
      </c>
      <c r="E52" s="70">
        <f>'A5-Capex'!D40-'A5-Capex'!D70</f>
        <v>16836742.930000003</v>
      </c>
      <c r="F52" s="1131">
        <f>'A5-Capex'!E40-'A5-Capex'!E70</f>
        <v>14924388</v>
      </c>
      <c r="G52" s="1130">
        <f>'A5-Capex'!F40-'A5-Capex'!F70</f>
        <v>38410213</v>
      </c>
      <c r="H52" s="70">
        <f>'A5-Capex'!G40-'A5-Capex'!G70</f>
        <v>35599956</v>
      </c>
      <c r="I52" s="70">
        <f>'A5-Capex'!H40-'A5-Capex'!H70</f>
        <v>35599956</v>
      </c>
      <c r="J52" s="1131">
        <f>'A5-Capex'!I40-'A5-Capex'!I70</f>
        <v>35599956</v>
      </c>
      <c r="K52" s="1130">
        <f>'A5-Capex'!J40-'A5-Capex'!J70</f>
        <v>35107957.5</v>
      </c>
      <c r="L52" s="70">
        <f>'A5-Capex'!K40-'A5-Capex'!K70</f>
        <v>36366434.950000003</v>
      </c>
      <c r="M52" s="1131">
        <f>'A5-Capex'!L40-'A5-Capex'!L70</f>
        <v>38548421.049999997</v>
      </c>
    </row>
    <row r="53" spans="1:13" x14ac:dyDescent="0.25">
      <c r="A53" s="459" t="s">
        <v>933</v>
      </c>
      <c r="B53" s="460" t="s">
        <v>411</v>
      </c>
      <c r="C53" s="460"/>
      <c r="D53" s="84">
        <f>'A7-CFlow'!C6+'A7-CFlow'!C7+'A7-CFlow'!C8</f>
        <v>57288098</v>
      </c>
      <c r="E53" s="81">
        <f>'A7-CFlow'!D6+'A7-CFlow'!D7+'A7-CFlow'!D8</f>
        <v>75940228</v>
      </c>
      <c r="F53" s="681">
        <f>'A7-CFlow'!E6+'A7-CFlow'!E7+'A7-CFlow'!E8</f>
        <v>78165187</v>
      </c>
      <c r="G53" s="84">
        <f>'A7-CFlow'!F6+'A7-CFlow'!F7+'A7-CFlow'!F8</f>
        <v>97769215.50999999</v>
      </c>
      <c r="H53" s="81">
        <f>'A7-CFlow'!G6+'A7-CFlow'!G7+'A7-CFlow'!G8</f>
        <v>98936726.419999987</v>
      </c>
      <c r="I53" s="81">
        <f>'A7-CFlow'!H6+'A7-CFlow'!H7+'A7-CFlow'!H8</f>
        <v>95924844.420000002</v>
      </c>
      <c r="J53" s="681">
        <f>'A7-CFlow'!I6+'A7-CFlow'!I7+'A7-CFlow'!I8</f>
        <v>95924844.420000002</v>
      </c>
      <c r="K53" s="84">
        <f>'A7-CFlow'!J6+'A7-CFlow'!J7+'A7-CFlow'!J8</f>
        <v>104861300.33532001</v>
      </c>
      <c r="L53" s="81">
        <f>'A7-CFlow'!K6+'A7-CFlow'!K7+'A7-CFlow'!K8</f>
        <v>111152978.4452392</v>
      </c>
      <c r="M53" s="1131">
        <f>'A7-CFlow'!L6+'A7-CFlow'!L7+'A7-CFlow'!L8</f>
        <v>117822157.59235355</v>
      </c>
    </row>
    <row r="54" spans="1:13" x14ac:dyDescent="0.25">
      <c r="A54" s="464" t="s">
        <v>1701</v>
      </c>
      <c r="B54" s="460" t="s">
        <v>411</v>
      </c>
      <c r="C54" s="460"/>
      <c r="D54" s="84">
        <f>SUM('A4-FinPerf RE'!C5:C12)+'A4-FinPerf RE'!C14+SUM('A4-FinPerf RE'!C16:C18)+'A4-FinPerf RE'!C20</f>
        <v>69910014.969999999</v>
      </c>
      <c r="E54" s="81">
        <f>SUM('A4-FinPerf RE'!D5:D12)+'A4-FinPerf RE'!D14+SUM('A4-FinPerf RE'!D16:D18)+'A4-FinPerf RE'!D20</f>
        <v>79352049</v>
      </c>
      <c r="F54" s="681">
        <f>SUM('A4-FinPerf RE'!E5:E12)+'A4-FinPerf RE'!E14+SUM('A4-FinPerf RE'!E16:E18)+'A4-FinPerf RE'!E20</f>
        <v>89982130</v>
      </c>
      <c r="G54" s="84">
        <f>SUM('A4-FinPerf RE'!F5:F12)+'A4-FinPerf RE'!F14+SUM('A4-FinPerf RE'!F16:F18)+'A4-FinPerf RE'!F20</f>
        <v>101290972.8902</v>
      </c>
      <c r="H54" s="81">
        <f>SUM('A4-FinPerf RE'!G5:G12)+'A4-FinPerf RE'!G14+SUM('A4-FinPerf RE'!G16:G18)+'A4-FinPerf RE'!G20</f>
        <v>100246601.8</v>
      </c>
      <c r="I54" s="81">
        <f>SUM('A4-FinPerf RE'!H5:H12)+'A4-FinPerf RE'!H14+SUM('A4-FinPerf RE'!H16:H18)+'A4-FinPerf RE'!H20</f>
        <v>100246601.8</v>
      </c>
      <c r="J54" s="681">
        <f>SUM('A4-FinPerf RE'!I5:I12)+'A4-FinPerf RE'!I14+SUM('A4-FinPerf RE'!I16:I18)+'A4-FinPerf RE'!I20</f>
        <v>100246601.8</v>
      </c>
      <c r="K54" s="84">
        <f>SUM('A4-FinPerf RE'!J5:J12)+'A4-FinPerf RE'!J14+SUM('A4-FinPerf RE'!J16:J18)+'A4-FinPerf RE'!J20</f>
        <v>107237264.89532001</v>
      </c>
      <c r="L54" s="81">
        <f>SUM('A4-FinPerf RE'!K5:K12)+'A4-FinPerf RE'!K14+SUM('A4-FinPerf RE'!K16:K18)+'A4-FinPerf RE'!K20</f>
        <v>113671500.87883921</v>
      </c>
      <c r="M54" s="681">
        <f>SUM('A4-FinPerf RE'!L5:L12)+'A4-FinPerf RE'!L14+SUM('A4-FinPerf RE'!L16:L18)+'A4-FinPerf RE'!L20</f>
        <v>120491791.37196957</v>
      </c>
    </row>
    <row r="55" spans="1:13" x14ac:dyDescent="0.25">
      <c r="A55" s="464" t="s">
        <v>628</v>
      </c>
      <c r="B55" s="460"/>
      <c r="C55" s="460"/>
      <c r="D55" s="84">
        <f>D84</f>
        <v>18961207.16666666</v>
      </c>
      <c r="E55" s="81">
        <f>(SUM('A6-FinPos'!D8:D10)+'A6-FinPos'!D15)-(SUM('A6-FinPos'!C8:C10)+'A6-FinPos'!C15)</f>
        <v>16957213</v>
      </c>
      <c r="F55" s="681">
        <f>(SUM('A6-FinPos'!E8:E10)+'A6-FinPos'!E15)-(SUM('A6-FinPos'!D8:D10)+'A6-FinPos'!D15)</f>
        <v>4105571</v>
      </c>
      <c r="G55" s="84">
        <f>(SUM('A6-FinPos'!F8:F10)+'A6-FinPos'!F15)-(SUM('A6-FinPos'!E8:E10)+'A6-FinPos'!E15)</f>
        <v>-20770036</v>
      </c>
      <c r="H55" s="81">
        <f>(SUM('A6-FinPos'!G8:G10)+'A6-FinPos'!G15)-(SUM('A6-FinPos'!E8:E10)+'A6-FinPos'!E15)</f>
        <v>-20770036</v>
      </c>
      <c r="I55" s="81">
        <f>(SUM('A6-FinPos'!H8:H10)+'A6-FinPos'!H15)-(SUM('A6-FinPos'!E8:E10)+'A6-FinPos'!E15)</f>
        <v>-20770036</v>
      </c>
      <c r="J55" s="681">
        <f>(SUM('A6-FinPos'!I8:I10)+'A6-FinPos'!I15)-(SUM('A6-FinPos'!E8:E10)+'A6-FinPos'!E15)</f>
        <v>-20770036</v>
      </c>
      <c r="K55" s="84">
        <f>(SUM('A6-FinPos'!J8:J10)+'A6-FinPos'!J15)-(SUM('A6-FinPos'!F8:F10)+'A6-FinPos'!F15)</f>
        <v>180000</v>
      </c>
      <c r="L55" s="81">
        <f>(SUM('A6-FinPos'!K8:K10)+'A6-FinPos'!K15)-(SUM('A6-FinPos'!J8:J10)+'A6-FinPos'!J15)</f>
        <v>190800</v>
      </c>
      <c r="M55" s="681">
        <f>(SUM('A6-FinPos'!L8:L10)+'A6-FinPos'!L15)-(SUM('A6-FinPos'!K8:K10)+'A6-FinPos'!K15)</f>
        <v>202248</v>
      </c>
    </row>
    <row r="56" spans="1:13" x14ac:dyDescent="0.25">
      <c r="A56" s="464" t="s">
        <v>1168</v>
      </c>
      <c r="B56" s="460" t="s">
        <v>411</v>
      </c>
      <c r="C56" s="460"/>
      <c r="D56" s="84">
        <f>'A4-FinPerf RE'!C19+'A4-FinPerf RE'!C39</f>
        <v>103546286</v>
      </c>
      <c r="E56" s="81">
        <f>'A4-FinPerf RE'!D19+'A4-FinPerf RE'!D39</f>
        <v>99289556</v>
      </c>
      <c r="F56" s="681">
        <f>'A4-FinPerf RE'!E19+'A4-FinPerf RE'!E39</f>
        <v>126296106</v>
      </c>
      <c r="G56" s="84">
        <f>'A4-FinPerf RE'!F19+'A4-FinPerf RE'!F39</f>
        <v>154713000</v>
      </c>
      <c r="H56" s="81">
        <f>'A4-FinPerf RE'!G19+'A4-FinPerf RE'!G39</f>
        <v>157724882</v>
      </c>
      <c r="I56" s="81">
        <f>'A4-FinPerf RE'!H19+'A4-FinPerf RE'!H39</f>
        <v>157724882</v>
      </c>
      <c r="J56" s="681">
        <f>'A4-FinPerf RE'!I19+'A4-FinPerf RE'!I39</f>
        <v>157724882</v>
      </c>
      <c r="K56" s="84">
        <f>'A4-FinPerf RE'!J19+'A4-FinPerf RE'!J39</f>
        <v>153291000</v>
      </c>
      <c r="L56" s="81">
        <f>'A4-FinPerf RE'!K19+'A4-FinPerf RE'!K39</f>
        <v>164115000</v>
      </c>
      <c r="M56" s="681">
        <f>'A4-FinPerf RE'!L19+'A4-FinPerf RE'!L39</f>
        <v>174597000</v>
      </c>
    </row>
    <row r="57" spans="1:13" x14ac:dyDescent="0.25">
      <c r="A57" s="464" t="s">
        <v>1170</v>
      </c>
      <c r="B57" s="465" t="str">
        <f>B17</f>
        <v>20(1)(vi)</v>
      </c>
      <c r="C57" s="460"/>
      <c r="D57" s="84">
        <f>'A5-Capex'!C40</f>
        <v>56744666</v>
      </c>
      <c r="E57" s="81">
        <f>'A5-Capex'!D40</f>
        <v>34742330.520000003</v>
      </c>
      <c r="F57" s="681">
        <f>'A5-Capex'!E40</f>
        <v>46508203</v>
      </c>
      <c r="G57" s="84">
        <f>'A5-Capex'!F40</f>
        <v>70815213</v>
      </c>
      <c r="H57" s="81">
        <f>'A5-Capex'!G40</f>
        <v>68454956</v>
      </c>
      <c r="I57" s="81">
        <f>'A5-Capex'!H40</f>
        <v>68454956</v>
      </c>
      <c r="J57" s="681">
        <f>'A5-Capex'!I40</f>
        <v>68454956</v>
      </c>
      <c r="K57" s="84">
        <f>'A5-Capex'!J40</f>
        <v>65507957.5</v>
      </c>
      <c r="L57" s="81">
        <f>'A5-Capex'!K40</f>
        <v>68937414.950000003</v>
      </c>
      <c r="M57" s="681">
        <f>'A5-Capex'!L40</f>
        <v>73830919.849999994</v>
      </c>
    </row>
    <row r="58" spans="1:13" x14ac:dyDescent="0.25">
      <c r="A58" s="464" t="s">
        <v>1171</v>
      </c>
      <c r="B58" s="465" t="str">
        <f>B18</f>
        <v>20(1)(vi)</v>
      </c>
      <c r="C58" s="460"/>
      <c r="D58" s="84">
        <f>'A9-Asset'!C20</f>
        <v>29593000</v>
      </c>
      <c r="E58" s="81">
        <f>'A9-Asset'!D20</f>
        <v>3194043.63</v>
      </c>
      <c r="F58" s="681">
        <f>'A9-Asset'!E20</f>
        <v>0</v>
      </c>
      <c r="G58" s="84">
        <f>'A9-Asset'!F20</f>
        <v>11942501</v>
      </c>
      <c r="H58" s="81">
        <f>'A9-Asset'!G20</f>
        <v>6626001</v>
      </c>
      <c r="I58" s="81">
        <f>'A9-Asset'!H20</f>
        <v>6626001</v>
      </c>
      <c r="J58" s="81"/>
      <c r="K58" s="84">
        <f>'A9-Asset'!I20</f>
        <v>22091600</v>
      </c>
      <c r="L58" s="81">
        <f>'A9-Asset'!J20</f>
        <v>23417096</v>
      </c>
      <c r="M58" s="681">
        <f>'A9-Asset'!K20</f>
        <v>24822121.760000002</v>
      </c>
    </row>
    <row r="59" spans="1:13" ht="6" customHeight="1" x14ac:dyDescent="0.25">
      <c r="A59" s="464"/>
      <c r="B59" s="460"/>
      <c r="C59" s="460"/>
      <c r="D59" s="1486"/>
      <c r="E59" s="171"/>
      <c r="F59" s="1583"/>
      <c r="G59" s="281"/>
      <c r="H59" s="280"/>
      <c r="I59" s="280"/>
      <c r="J59" s="1583"/>
      <c r="K59" s="281"/>
      <c r="L59" s="280"/>
      <c r="M59" s="1583"/>
    </row>
    <row r="60" spans="1:13" x14ac:dyDescent="0.25">
      <c r="A60" s="458" t="s">
        <v>9</v>
      </c>
      <c r="B60" s="460"/>
      <c r="C60" s="460"/>
      <c r="D60" s="1486"/>
      <c r="E60" s="171"/>
      <c r="F60" s="1583"/>
      <c r="G60" s="281"/>
      <c r="H60" s="280"/>
      <c r="I60" s="280"/>
      <c r="J60" s="1583"/>
      <c r="K60" s="281"/>
      <c r="L60" s="280"/>
      <c r="M60" s="1583"/>
    </row>
    <row r="61" spans="1:13" x14ac:dyDescent="0.25">
      <c r="A61" s="464" t="s">
        <v>442</v>
      </c>
      <c r="B61" s="460"/>
      <c r="C61" s="460"/>
      <c r="D61" s="1584">
        <v>0.06</v>
      </c>
      <c r="E61" s="1582">
        <v>0.06</v>
      </c>
      <c r="F61" s="1585">
        <v>0.06</v>
      </c>
      <c r="G61" s="1584">
        <v>0.06</v>
      </c>
      <c r="H61" s="1582">
        <v>0.06</v>
      </c>
      <c r="I61" s="1582">
        <v>0.06</v>
      </c>
      <c r="J61" s="1585">
        <v>0.06</v>
      </c>
      <c r="K61" s="1584">
        <v>0.06</v>
      </c>
      <c r="L61" s="1582">
        <v>0.06</v>
      </c>
      <c r="M61" s="1585">
        <v>0.06</v>
      </c>
    </row>
    <row r="62" spans="1:13" x14ac:dyDescent="0.25">
      <c r="A62" s="464" t="s">
        <v>1977</v>
      </c>
      <c r="B62" s="460"/>
      <c r="C62" s="460"/>
      <c r="D62" s="1584">
        <v>4.2999999999999997E-2</v>
      </c>
      <c r="E62" s="1582">
        <v>3.9E-2</v>
      </c>
      <c r="F62" s="1585">
        <v>4.5999999999999999E-2</v>
      </c>
      <c r="G62" s="1584">
        <v>0.05</v>
      </c>
      <c r="H62" s="1582">
        <v>0.05</v>
      </c>
      <c r="I62" s="1582">
        <v>0.05</v>
      </c>
      <c r="J62" s="1585">
        <v>0.05</v>
      </c>
      <c r="K62" s="1584">
        <v>5.3999999999999999E-2</v>
      </c>
      <c r="L62" s="1582">
        <v>5.6000000000000001E-2</v>
      </c>
      <c r="M62" s="1585">
        <v>5.3999999999999999E-2</v>
      </c>
    </row>
    <row r="63" spans="1:13" x14ac:dyDescent="0.25">
      <c r="A63" s="464" t="s">
        <v>1434</v>
      </c>
      <c r="B63" s="460"/>
      <c r="C63" s="460"/>
      <c r="D63" s="1586"/>
      <c r="E63" s="1587"/>
      <c r="F63" s="1588"/>
      <c r="G63" s="1589"/>
      <c r="H63" s="1590"/>
      <c r="I63" s="1590"/>
      <c r="J63" s="1588"/>
      <c r="K63" s="2090"/>
      <c r="L63" s="2088"/>
      <c r="M63" s="2091"/>
    </row>
    <row r="64" spans="1:13" x14ac:dyDescent="0.25">
      <c r="A64" s="464" t="s">
        <v>1435</v>
      </c>
      <c r="B64" s="460"/>
      <c r="C64" s="460"/>
      <c r="D64" s="1586"/>
      <c r="E64" s="1587"/>
      <c r="F64" s="1588"/>
      <c r="G64" s="1589"/>
      <c r="H64" s="1590"/>
      <c r="I64" s="1590"/>
      <c r="J64" s="1588"/>
      <c r="K64" s="2090"/>
      <c r="L64" s="2088"/>
      <c r="M64" s="2091"/>
    </row>
    <row r="65" spans="1:13" x14ac:dyDescent="0.25">
      <c r="A65" s="464" t="s">
        <v>1436</v>
      </c>
      <c r="B65" s="460"/>
      <c r="C65" s="460"/>
      <c r="D65" s="1586"/>
      <c r="E65" s="1587"/>
      <c r="F65" s="1588"/>
      <c r="G65" s="1589"/>
      <c r="H65" s="1590"/>
      <c r="I65" s="1590"/>
      <c r="J65" s="1588"/>
      <c r="K65" s="2090"/>
      <c r="L65" s="2088"/>
      <c r="M65" s="2091"/>
    </row>
    <row r="66" spans="1:13" x14ac:dyDescent="0.25">
      <c r="A66" s="464" t="s">
        <v>1437</v>
      </c>
      <c r="B66" s="460"/>
      <c r="C66" s="460"/>
      <c r="D66" s="1586"/>
      <c r="E66" s="1587"/>
      <c r="F66" s="1588"/>
      <c r="G66" s="1589"/>
      <c r="H66" s="1590"/>
      <c r="I66" s="1590"/>
      <c r="J66" s="1588"/>
      <c r="K66" s="2090"/>
      <c r="L66" s="2088"/>
      <c r="M66" s="2091"/>
    </row>
    <row r="67" spans="1:13" x14ac:dyDescent="0.25">
      <c r="A67" s="464" t="s">
        <v>1167</v>
      </c>
      <c r="B67" s="460"/>
      <c r="C67" s="460"/>
      <c r="D67" s="1586"/>
      <c r="E67" s="1587"/>
      <c r="F67" s="1588"/>
      <c r="G67" s="1589"/>
      <c r="H67" s="1590"/>
      <c r="I67" s="1590"/>
      <c r="J67" s="1588"/>
      <c r="K67" s="2090"/>
      <c r="L67" s="2088"/>
      <c r="M67" s="2091"/>
    </row>
    <row r="68" spans="1:13" x14ac:dyDescent="0.25">
      <c r="A68" s="464" t="s">
        <v>1166</v>
      </c>
      <c r="B68" s="460"/>
      <c r="C68" s="460"/>
      <c r="D68" s="1589"/>
      <c r="E68" s="1590"/>
      <c r="F68" s="1588"/>
      <c r="G68" s="1589"/>
      <c r="H68" s="1590"/>
      <c r="I68" s="1590"/>
      <c r="J68" s="1588"/>
      <c r="K68" s="89">
        <f>SUM(K63:K67)</f>
        <v>0</v>
      </c>
      <c r="L68" s="85">
        <f>SUM(L63:L67)</f>
        <v>0</v>
      </c>
      <c r="M68" s="436">
        <f>SUM(M63:M67)</f>
        <v>0</v>
      </c>
    </row>
    <row r="69" spans="1:13" x14ac:dyDescent="0.25">
      <c r="A69" s="464" t="s">
        <v>10</v>
      </c>
      <c r="B69" s="460"/>
      <c r="C69" s="460"/>
      <c r="D69" s="1484"/>
      <c r="E69" s="1469"/>
      <c r="F69" s="1585"/>
      <c r="G69" s="1584"/>
      <c r="H69" s="1582"/>
      <c r="I69" s="1582"/>
      <c r="J69" s="1585"/>
      <c r="K69" s="1584"/>
      <c r="L69" s="1582"/>
      <c r="M69" s="1585"/>
    </row>
    <row r="70" spans="1:13" ht="13.5" thickBot="1" x14ac:dyDescent="0.3">
      <c r="A70" s="466"/>
      <c r="B70" s="467"/>
      <c r="C70" s="467"/>
      <c r="D70" s="1591"/>
      <c r="E70" s="1592"/>
      <c r="F70" s="1593"/>
      <c r="G70" s="1594"/>
      <c r="H70" s="1595"/>
      <c r="I70" s="1595"/>
      <c r="J70" s="1593"/>
      <c r="K70" s="1594"/>
      <c r="L70" s="1595"/>
      <c r="M70" s="1593"/>
    </row>
    <row r="71" spans="1:13" x14ac:dyDescent="0.25">
      <c r="A71" s="468" t="s">
        <v>1207</v>
      </c>
      <c r="J71" s="1424"/>
      <c r="K71" s="1596"/>
      <c r="L71" s="1597"/>
      <c r="M71" s="1598"/>
    </row>
    <row r="72" spans="1:13" x14ac:dyDescent="0.25">
      <c r="A72" s="2323" t="s">
        <v>1526</v>
      </c>
      <c r="D72" s="1565"/>
      <c r="E72" s="1565"/>
      <c r="F72" s="1566"/>
      <c r="G72" s="1566"/>
      <c r="H72" s="1566"/>
      <c r="I72" s="1566"/>
      <c r="J72" s="1567"/>
      <c r="K72" s="2090"/>
      <c r="L72" s="2088"/>
      <c r="M72" s="2091"/>
    </row>
    <row r="73" spans="1:13" x14ac:dyDescent="0.25">
      <c r="A73" s="2131"/>
      <c r="D73" s="1565"/>
      <c r="E73" s="1565"/>
      <c r="F73" s="1566"/>
      <c r="G73" s="1566"/>
      <c r="H73" s="1566"/>
      <c r="I73" s="1566"/>
      <c r="J73" s="1567"/>
      <c r="K73" s="2090"/>
      <c r="L73" s="2088"/>
      <c r="M73" s="2091"/>
    </row>
    <row r="74" spans="1:13" x14ac:dyDescent="0.25">
      <c r="A74" s="2131"/>
      <c r="D74" s="1565"/>
      <c r="E74" s="1565"/>
      <c r="F74" s="1566"/>
      <c r="G74" s="1566"/>
      <c r="H74" s="1566"/>
      <c r="I74" s="1566"/>
      <c r="J74" s="1567"/>
      <c r="K74" s="2090"/>
      <c r="L74" s="2088"/>
      <c r="M74" s="2091"/>
    </row>
    <row r="75" spans="1:13" x14ac:dyDescent="0.25">
      <c r="A75" s="2131"/>
      <c r="D75" s="1565"/>
      <c r="E75" s="1565"/>
      <c r="F75" s="1566"/>
      <c r="G75" s="1566"/>
      <c r="H75" s="1566"/>
      <c r="I75" s="1566"/>
      <c r="J75" s="1567"/>
      <c r="K75" s="2090"/>
      <c r="L75" s="2088"/>
      <c r="M75" s="2091"/>
    </row>
    <row r="76" spans="1:13" ht="13.5" thickBot="1" x14ac:dyDescent="0.3">
      <c r="D76" s="1565"/>
      <c r="E76" s="1565"/>
      <c r="F76" s="1566"/>
      <c r="G76" s="1566"/>
      <c r="H76" s="1566"/>
      <c r="I76" s="1566"/>
      <c r="J76" s="1567"/>
      <c r="K76" s="1599">
        <f>SUM(K72:K75)</f>
        <v>0</v>
      </c>
      <c r="L76" s="1600">
        <f>SUM(L72:L75)</f>
        <v>0</v>
      </c>
      <c r="M76" s="1601">
        <f>SUM(M72:M75)</f>
        <v>0</v>
      </c>
    </row>
    <row r="77" spans="1:13" ht="13.5" thickTop="1" x14ac:dyDescent="0.25">
      <c r="A77" s="468" t="s">
        <v>267</v>
      </c>
      <c r="J77" s="1424"/>
      <c r="K77" s="84"/>
      <c r="L77" s="81"/>
      <c r="M77" s="681"/>
    </row>
    <row r="78" spans="1:13" x14ac:dyDescent="0.25">
      <c r="A78" s="2323" t="s">
        <v>1527</v>
      </c>
      <c r="D78" s="1565"/>
      <c r="E78" s="1565"/>
      <c r="F78" s="1566"/>
      <c r="G78" s="1566"/>
      <c r="H78" s="1566"/>
      <c r="I78" s="1566"/>
      <c r="J78" s="1567"/>
      <c r="K78" s="2090"/>
      <c r="L78" s="2088"/>
      <c r="M78" s="2091"/>
    </row>
    <row r="79" spans="1:13" x14ac:dyDescent="0.25">
      <c r="A79" s="2131"/>
      <c r="D79" s="1565"/>
      <c r="E79" s="1565"/>
      <c r="F79" s="1566"/>
      <c r="G79" s="1566"/>
      <c r="H79" s="1566"/>
      <c r="I79" s="1566"/>
      <c r="J79" s="1567"/>
      <c r="K79" s="2090"/>
      <c r="L79" s="2088"/>
      <c r="M79" s="2091"/>
    </row>
    <row r="80" spans="1:13" x14ac:dyDescent="0.25">
      <c r="A80" s="2131"/>
      <c r="D80" s="1565"/>
      <c r="E80" s="1565"/>
      <c r="F80" s="1566"/>
      <c r="G80" s="1566"/>
      <c r="H80" s="1566"/>
      <c r="I80" s="1566"/>
      <c r="J80" s="1567"/>
      <c r="K80" s="2090"/>
      <c r="L80" s="2088"/>
      <c r="M80" s="2091"/>
    </row>
    <row r="81" spans="1:14" x14ac:dyDescent="0.25">
      <c r="A81" s="2131"/>
      <c r="D81" s="1565"/>
      <c r="E81" s="1565"/>
      <c r="F81" s="1566"/>
      <c r="G81" s="1566"/>
      <c r="H81" s="1566"/>
      <c r="I81" s="1566"/>
      <c r="J81" s="1567"/>
      <c r="K81" s="2090"/>
      <c r="L81" s="2088"/>
      <c r="M81" s="2091"/>
    </row>
    <row r="82" spans="1:14" ht="13.5" thickBot="1" x14ac:dyDescent="0.3">
      <c r="A82" s="1437"/>
      <c r="B82" s="215"/>
      <c r="C82" s="215"/>
      <c r="D82" s="1568"/>
      <c r="E82" s="1568"/>
      <c r="F82" s="1569"/>
      <c r="G82" s="1569"/>
      <c r="H82" s="1569"/>
      <c r="I82" s="1569"/>
      <c r="J82" s="1570"/>
      <c r="K82" s="1599">
        <f>SUM(K78:K81)</f>
        <v>0</v>
      </c>
      <c r="L82" s="1600">
        <f>SUM(L78:L81)</f>
        <v>0</v>
      </c>
      <c r="M82" s="1601">
        <f>SUM(M78:M81)</f>
        <v>0</v>
      </c>
    </row>
    <row r="83" spans="1:14" ht="13.5" thickTop="1" x14ac:dyDescent="0.25">
      <c r="A83" s="468" t="s">
        <v>631</v>
      </c>
      <c r="M83" s="1448"/>
    </row>
    <row r="84" spans="1:14" x14ac:dyDescent="0.25">
      <c r="A84" s="27" t="str">
        <f>A55</f>
        <v>Change in consumer debtors (current and non-current)</v>
      </c>
      <c r="D84" s="469">
        <f>TREND(E84:G84)</f>
        <v>18961207.16666666</v>
      </c>
      <c r="E84" s="469">
        <f>E55</f>
        <v>16957213</v>
      </c>
      <c r="F84" s="469">
        <f>F55</f>
        <v>4105571</v>
      </c>
      <c r="G84" s="240">
        <f>J55</f>
        <v>-20770036</v>
      </c>
      <c r="H84" s="240">
        <f t="shared" ref="H84:M84" si="8">K55</f>
        <v>180000</v>
      </c>
      <c r="I84" s="240">
        <f t="shared" si="8"/>
        <v>190800</v>
      </c>
      <c r="J84" s="240">
        <f t="shared" si="8"/>
        <v>202248</v>
      </c>
      <c r="K84" s="240">
        <f t="shared" si="8"/>
        <v>0</v>
      </c>
      <c r="L84" s="240">
        <f t="shared" si="8"/>
        <v>0</v>
      </c>
      <c r="M84" s="82">
        <f t="shared" si="8"/>
        <v>0</v>
      </c>
    </row>
    <row r="85" spans="1:14" ht="12" customHeight="1" x14ac:dyDescent="0.25">
      <c r="M85" s="1438"/>
    </row>
    <row r="86" spans="1:14" x14ac:dyDescent="0.25">
      <c r="A86" s="1435" t="s">
        <v>1761</v>
      </c>
      <c r="B86" s="1433"/>
      <c r="C86" s="1434"/>
      <c r="D86" s="1571">
        <f>'A1-Sum'!B10</f>
        <v>151482938.97</v>
      </c>
      <c r="E86" s="1572">
        <f>'A1-Sum'!C10</f>
        <v>162639920</v>
      </c>
      <c r="F86" s="1573">
        <f>'A1-Sum'!D10</f>
        <v>187146398</v>
      </c>
      <c r="G86" s="1571">
        <f>'A1-Sum'!E10</f>
        <v>224769350.6902</v>
      </c>
      <c r="H86" s="1572">
        <f>'A1-Sum'!F10</f>
        <v>223724979.59999999</v>
      </c>
      <c r="I86" s="1572">
        <f>'A1-Sum'!G10</f>
        <v>223724979.59999999</v>
      </c>
      <c r="J86" s="1573">
        <f>'A1-Sum'!H10</f>
        <v>223724979.59999999</v>
      </c>
      <c r="K86" s="1571">
        <f>'A1-Sum'!I10</f>
        <v>229851865.36331999</v>
      </c>
      <c r="L86" s="1572">
        <f>'A1-Sum'!J10</f>
        <v>244922537.37491921</v>
      </c>
      <c r="M86" s="1574">
        <f>'A1-Sum'!K10</f>
        <v>259495730.05781436</v>
      </c>
      <c r="N86" s="124"/>
    </row>
    <row r="87" spans="1:14" x14ac:dyDescent="0.25">
      <c r="A87" s="1425" t="s">
        <v>1762</v>
      </c>
      <c r="B87" s="1432"/>
      <c r="C87" s="460"/>
      <c r="D87" s="1473">
        <f>'A1-Sum'!B18</f>
        <v>153405509.93000001</v>
      </c>
      <c r="E87" s="202">
        <f>'A1-Sum'!C18</f>
        <v>168264595</v>
      </c>
      <c r="F87" s="1476">
        <f>'A1-Sum'!D18</f>
        <v>178873710</v>
      </c>
      <c r="G87" s="1473">
        <f>'A1-Sum'!E18</f>
        <v>305416992.68000001</v>
      </c>
      <c r="H87" s="202">
        <f>'A1-Sum'!F18</f>
        <v>298835365.99000001</v>
      </c>
      <c r="I87" s="202">
        <f>'A1-Sum'!G18</f>
        <v>298835365.99000001</v>
      </c>
      <c r="J87" s="1476">
        <f>'A1-Sum'!H18</f>
        <v>298835365.99000001</v>
      </c>
      <c r="K87" s="1473">
        <f>'A1-Sum'!I18</f>
        <v>314026865.41035998</v>
      </c>
      <c r="L87" s="202">
        <f>'A1-Sum'!J18</f>
        <v>331253378.21108162</v>
      </c>
      <c r="M87" s="1449">
        <f>'A1-Sum'!K18</f>
        <v>352012139.98232651</v>
      </c>
      <c r="N87" s="124"/>
    </row>
    <row r="88" spans="1:14" x14ac:dyDescent="0.25">
      <c r="A88" s="1425" t="s">
        <v>1763</v>
      </c>
      <c r="B88" s="1432"/>
      <c r="C88" s="460"/>
      <c r="D88" s="1473">
        <f>D86-D87</f>
        <v>-1922570.9600000083</v>
      </c>
      <c r="E88" s="202">
        <f t="shared" ref="E88:M88" si="9">E86-E87</f>
        <v>-5624675</v>
      </c>
      <c r="F88" s="1476">
        <f t="shared" si="9"/>
        <v>8272688</v>
      </c>
      <c r="G88" s="1473">
        <f t="shared" si="9"/>
        <v>-80647641.989800006</v>
      </c>
      <c r="H88" s="202">
        <f t="shared" si="9"/>
        <v>-75110386.390000015</v>
      </c>
      <c r="I88" s="202">
        <f t="shared" si="9"/>
        <v>-75110386.390000015</v>
      </c>
      <c r="J88" s="1476">
        <f t="shared" si="9"/>
        <v>-75110386.390000015</v>
      </c>
      <c r="K88" s="1473">
        <f>K86-K87</f>
        <v>-84175000.047039986</v>
      </c>
      <c r="L88" s="202">
        <f t="shared" si="9"/>
        <v>-86330840.836162418</v>
      </c>
      <c r="M88" s="1449">
        <f t="shared" si="9"/>
        <v>-92516409.924512148</v>
      </c>
      <c r="N88" s="124"/>
    </row>
    <row r="89" spans="1:14" x14ac:dyDescent="0.25">
      <c r="A89" s="1425" t="s">
        <v>1844</v>
      </c>
      <c r="B89" s="1432"/>
      <c r="C89" s="460"/>
      <c r="D89" s="1575"/>
      <c r="E89" s="1576"/>
      <c r="F89" s="1577"/>
      <c r="G89" s="1578"/>
      <c r="H89" s="310"/>
      <c r="I89" s="310"/>
      <c r="J89" s="1577"/>
      <c r="K89" s="1575">
        <f>'A7-CFlow'!J40</f>
        <v>-4.7040018951520324E-2</v>
      </c>
      <c r="L89" s="310"/>
      <c r="M89" s="1542"/>
      <c r="N89" s="124"/>
    </row>
    <row r="90" spans="1:14" x14ac:dyDescent="0.25">
      <c r="A90" s="1412" t="s">
        <v>1764</v>
      </c>
      <c r="B90" s="1436"/>
      <c r="C90" s="309"/>
      <c r="D90" s="169"/>
      <c r="E90" s="169"/>
      <c r="F90" s="431"/>
      <c r="G90" s="433"/>
      <c r="H90" s="1446"/>
      <c r="I90" s="1446"/>
      <c r="J90" s="431"/>
      <c r="K90" s="433"/>
      <c r="L90" s="1446"/>
      <c r="M90" s="432"/>
    </row>
    <row r="91" spans="1:14" x14ac:dyDescent="0.25">
      <c r="A91" s="79" t="s">
        <v>1765</v>
      </c>
      <c r="B91" s="1427"/>
      <c r="C91" s="114"/>
      <c r="D91" s="1469"/>
      <c r="E91" s="1469">
        <f>IF(ISERROR(('A1-Sum'!C10-'A1-Sum'!B10)/'A1-Sum'!B10),0,(('A1-Sum'!C10-'A1-Sum'!B10)/'A1-Sum'!B10))</f>
        <v>7.3651733362590441E-2</v>
      </c>
      <c r="F91" s="1482">
        <f>IF(ISERROR(('A1-Sum'!D10-'A1-Sum'!C10)/'A1-Sum'!C10),0,(('A1-Sum'!D10-'A1-Sum'!C10)/'A1-Sum'!C10))</f>
        <v>0.15067935350681433</v>
      </c>
      <c r="G91" s="1484">
        <f>IF(ISERROR(('A1-Sum'!E10-'A1-Sum'!D10)/'A1-Sum'!D10),0,(('A1-Sum'!E10-'A1-Sum'!D10)/'A1-Sum'!D10))</f>
        <v>0.2010348747946514</v>
      </c>
      <c r="H91" s="1469">
        <f>IF(ISERROR(('A1-Sum'!F10-'A1-Sum'!E10)/'A1-Sum'!E10),0,(('A1-Sum'!F10-'A1-Sum'!E10)/'A1-Sum'!E10))</f>
        <v>-4.6464123644662991E-3</v>
      </c>
      <c r="I91" s="1469">
        <f>IF(ISERROR(('A1-Sum'!G10-'A1-Sum'!F10)/'A1-Sum'!F10),0,(('A1-Sum'!G10-'A1-Sum'!F10)/'A1-Sum'!F10))</f>
        <v>0</v>
      </c>
      <c r="J91" s="1482">
        <f>IF(ISERROR(('A1-Sum'!H10-'A1-Sum'!G10)/'A1-Sum'!G10),0,(('A1-Sum'!H10-'A1-Sum'!G10)/'A1-Sum'!G10))</f>
        <v>0</v>
      </c>
      <c r="K91" s="1484">
        <f>IF(ISERROR(('A1-Sum'!I10-'A1-Sum'!F10)/'A1-Sum'!F10),0,(('A1-Sum'!I10-'A1-Sum'!F10)/'A1-Sum'!F10))</f>
        <v>2.7385792030350461E-2</v>
      </c>
      <c r="L91" s="1469">
        <f>IF(ISERROR(('A1-Sum'!J10-'A1-Sum'!I10)/'A1-Sum'!I10),0,(('A1-Sum'!J10-'A1-Sum'!I10)/'A1-Sum'!I10))</f>
        <v>6.5566890169794584E-2</v>
      </c>
      <c r="M91" s="1470">
        <f>IF(ISERROR(('A1-Sum'!K10-'A1-Sum'!J10)/'A1-Sum'!J10),0,(('A1-Sum'!K10-'A1-Sum'!J10)/'A1-Sum'!J10))</f>
        <v>5.9501231855143652E-2</v>
      </c>
    </row>
    <row r="92" spans="1:14" x14ac:dyDescent="0.25">
      <c r="A92" s="79" t="s">
        <v>1766</v>
      </c>
      <c r="B92" s="1427"/>
      <c r="C92" s="114"/>
      <c r="D92" s="1469"/>
      <c r="E92" s="1469">
        <f>IF(ISERROR(('A4-FinPerf RE'!D5-'A4-FinPerf RE'!C5)/'A4-FinPerf RE'!C5),0,(('A4-FinPerf RE'!D5-'A4-FinPerf RE'!C5)/'A4-FinPerf RE'!C5))</f>
        <v>1.4348126149901541</v>
      </c>
      <c r="F92" s="1482">
        <f>IF(ISERROR(('A4-FinPerf RE'!E5-'A4-FinPerf RE'!D5)/'A4-FinPerf RE'!D5),0,(('A4-FinPerf RE'!E5-'A4-FinPerf RE'!D5)/'A4-FinPerf RE'!D5))</f>
        <v>-0.1360681006095425</v>
      </c>
      <c r="G92" s="1484">
        <f>IF(ISERROR(('A4-FinPerf RE'!F5-'A4-FinPerf RE'!E5)/'A4-FinPerf RE'!E5),0,(('A4-FinPerf RE'!F5-'A4-FinPerf RE'!E5)/'A4-FinPerf RE'!E5))</f>
        <v>2.5569436357047726E-2</v>
      </c>
      <c r="H92" s="1469">
        <f>IF(ISERROR(('A4-FinPerf RE'!G5-'A4-FinPerf RE'!F5)/'A4-FinPerf RE'!F5),0,(('A4-FinPerf RE'!G5-'A4-FinPerf RE'!F5)/'A4-FinPerf RE'!F5))</f>
        <v>1.2705350556834019E-2</v>
      </c>
      <c r="I92" s="1469">
        <f>IF(ISERROR(('A4-FinPerf RE'!H5-'A4-FinPerf RE'!G5)/'A4-FinPerf RE'!G5),0,(('A4-FinPerf RE'!H5-'A4-FinPerf RE'!G5)/'A4-FinPerf RE'!G5))</f>
        <v>0</v>
      </c>
      <c r="J92" s="1482">
        <f>IF(ISERROR(('A4-FinPerf RE'!I5-'A4-FinPerf RE'!H5)/'A4-FinPerf RE'!H5),0,(('A4-FinPerf RE'!I5-'A4-FinPerf RE'!H5)/'A4-FinPerf RE'!H5))</f>
        <v>0</v>
      </c>
      <c r="K92" s="1484">
        <f>IF(ISERROR(('A4-FinPerf RE'!J5-'A4-FinPerf RE'!G5)/'A4-FinPerf RE'!G5),0,(('A4-FinPerf RE'!J5-'A4-FinPerf RE'!G5)/'A4-FinPerf RE'!G5))</f>
        <v>6.0000000000000157E-2</v>
      </c>
      <c r="L92" s="1469">
        <f>IF(ISERROR(('A4-FinPerf RE'!K5-'A4-FinPerf RE'!J5)/'A4-FinPerf RE'!J5),0,(('A4-FinPerf RE'!K5-'A4-FinPerf RE'!J5)/'A4-FinPerf RE'!J5))</f>
        <v>5.9999999999999942E-2</v>
      </c>
      <c r="M92" s="1470">
        <f>IF(ISERROR(('A4-FinPerf RE'!L5-'A4-FinPerf RE'!K5)/'A4-FinPerf RE'!K5),0,(('A4-FinPerf RE'!L5-'A4-FinPerf RE'!K5)/'A4-FinPerf RE'!K5))</f>
        <v>6.0000000000000005E-2</v>
      </c>
    </row>
    <row r="93" spans="1:14" x14ac:dyDescent="0.25">
      <c r="A93" s="79" t="s">
        <v>1767</v>
      </c>
      <c r="B93" s="1427"/>
      <c r="C93" s="114"/>
      <c r="D93" s="1469"/>
      <c r="E93" s="1469">
        <f>IF(ISERROR(('A4-FinPerf RE'!D7-'A4-FinPerf RE'!C7)/'A4-FinPerf RE'!C7),0,(('A4-FinPerf RE'!D7-'A4-FinPerf RE'!C7)/'A4-FinPerf RE'!C7))</f>
        <v>-4.4461467294455603E-2</v>
      </c>
      <c r="F93" s="1482">
        <f>IF(ISERROR(('A4-FinPerf RE'!E7-'A4-FinPerf RE'!D7)/'A4-FinPerf RE'!D7),0,(('A4-FinPerf RE'!E7-'A4-FinPerf RE'!D7)/'A4-FinPerf RE'!D7))</f>
        <v>9.6944504311056251E-2</v>
      </c>
      <c r="G93" s="1484">
        <f>IF(ISERROR(('A4-FinPerf RE'!F7-'A4-FinPerf RE'!E7)/'A4-FinPerf RE'!E7),0,(('A4-FinPerf RE'!F7-'A4-FinPerf RE'!E7)/'A4-FinPerf RE'!E7))</f>
        <v>0.34699928863189694</v>
      </c>
      <c r="H93" s="1469">
        <f>IF(ISERROR(('A4-FinPerf RE'!G7-'A4-FinPerf RE'!F7)/'A4-FinPerf RE'!F7),0,(('A4-FinPerf RE'!G7-'A4-FinPerf RE'!F7)/'A4-FinPerf RE'!F7))</f>
        <v>0</v>
      </c>
      <c r="I93" s="1469">
        <f>IF(ISERROR(('A4-FinPerf RE'!H7-'A4-FinPerf RE'!G7)/'A4-FinPerf RE'!G7),0,(('A4-FinPerf RE'!H7-'A4-FinPerf RE'!G7)/'A4-FinPerf RE'!G7))</f>
        <v>0</v>
      </c>
      <c r="J93" s="1482">
        <f>IF(ISERROR(('A4-FinPerf RE'!I7-'A4-FinPerf RE'!H7)/'A4-FinPerf RE'!H7),0,(('A4-FinPerf RE'!I7-'A4-FinPerf RE'!H7)/'A4-FinPerf RE'!H7))</f>
        <v>0</v>
      </c>
      <c r="K93" s="1484">
        <f>IF(ISERROR(('A4-FinPerf RE'!J7-'A4-FinPerf RE'!G7)/'A4-FinPerf RE'!G7),0,(('A4-FinPerf RE'!J7-'A4-FinPerf RE'!G7)/'A4-FinPerf RE'!G7))</f>
        <v>7.8600000000000031E-2</v>
      </c>
      <c r="L93" s="1469">
        <f>IF(ISERROR(('A4-FinPerf RE'!K7-'A4-FinPerf RE'!J7)/'A4-FinPerf RE'!J7),0,(('A4-FinPerf RE'!K7-'A4-FinPerf RE'!J7)/'A4-FinPerf RE'!J7))</f>
        <v>5.9999999999999866E-2</v>
      </c>
      <c r="M93" s="1470">
        <f>IF(ISERROR(('A4-FinPerf RE'!L7-'A4-FinPerf RE'!K7)/'A4-FinPerf RE'!K7),0,(('A4-FinPerf RE'!L7-'A4-FinPerf RE'!K7)/'A4-FinPerf RE'!K7))</f>
        <v>6.0000000000000046E-2</v>
      </c>
    </row>
    <row r="94" spans="1:14" x14ac:dyDescent="0.25">
      <c r="A94" s="214" t="s">
        <v>1768</v>
      </c>
      <c r="B94" s="799"/>
      <c r="C94" s="215"/>
      <c r="D94" s="1444"/>
      <c r="E94" s="1444">
        <f>IF(ISERROR((('A1-Sum'!C5+'A1-Sum'!C6)-('A1-Sum'!B5+'A1-Sum'!B6))/('A1-Sum'!B5+'A1-Sum'!B6)),0,((('A1-Sum'!C5+'A1-Sum'!C6)-('A1-Sum'!B5+'A1-Sum'!B6))/('A1-Sum'!B5+'A1-Sum'!B6)))</f>
        <v>0.3139391700859136</v>
      </c>
      <c r="F94" s="1474">
        <f>IF(ISERROR((('A1-Sum'!D5+'A1-Sum'!D6)-('A1-Sum'!C5+'A1-Sum'!C6))/('A1-Sum'!C5+'A1-Sum'!C6)),0,((('A1-Sum'!D5+'A1-Sum'!D6)-('A1-Sum'!C5+'A1-Sum'!C6))/('A1-Sum'!C5+'A1-Sum'!C6)))</f>
        <v>-4.3142808140527325E-3</v>
      </c>
      <c r="G94" s="1479">
        <f>IF(ISERROR((('A1-Sum'!E5+'A1-Sum'!E6)-('A1-Sum'!D5+'A1-Sum'!D6))/('A1-Sum'!D5+'A1-Sum'!D6)),0,((('A1-Sum'!E5+'A1-Sum'!E6)-('A1-Sum'!D5+'A1-Sum'!D6))/('A1-Sum'!D5+'A1-Sum'!D6)))</f>
        <v>0.21218415153124209</v>
      </c>
      <c r="H94" s="1444">
        <f>IF(ISERROR((('A1-Sum'!F5+'A1-Sum'!F6)-('A1-Sum'!E5+'A1-Sum'!E6))/('A1-Sum'!E5+'A1-Sum'!E6)),0,((('A1-Sum'!F5+'A1-Sum'!F6)-('A1-Sum'!E5+'A1-Sum'!E6))/('A1-Sum'!E5+'A1-Sum'!E6)))</f>
        <v>4.1635536472434415E-3</v>
      </c>
      <c r="I94" s="1444">
        <f>IF(ISERROR((('A1-Sum'!G5+'A1-Sum'!G6)-('A1-Sum'!F5+'A1-Sum'!F6))/('A1-Sum'!F5+'A1-Sum'!F6)),0,((('A1-Sum'!G5+'A1-Sum'!G6)-('A1-Sum'!F5+'A1-Sum'!F6))/('A1-Sum'!F5+'A1-Sum'!F6)))</f>
        <v>0</v>
      </c>
      <c r="J94" s="1474">
        <f>IF(ISERROR((('A1-Sum'!H5+'A1-Sum'!H6)-('A1-Sum'!G5+'A1-Sum'!G6))/('A1-Sum'!G5+'A1-Sum'!G6)),0,((('A1-Sum'!H5+'A1-Sum'!H6)-('A1-Sum'!G5+'A1-Sum'!G6))/('A1-Sum'!G5+'A1-Sum'!G6)))</f>
        <v>0</v>
      </c>
      <c r="K94" s="1479">
        <f>IF(ISERROR((('A1-Sum'!I5+'A1-Sum'!I6)-('A1-Sum'!F5+'A1-Sum'!F6))/('A1-Sum'!F5+'A1-Sum'!F6)),0,((('A1-Sum'!I5+'A1-Sum'!I6)-('A1-Sum'!F5+'A1-Sum'!F6))/('A1-Sum'!F5+'A1-Sum'!F6)))</f>
        <v>7.536958050698965E-2</v>
      </c>
      <c r="L94" s="1444">
        <f>IF(ISERROR((('A1-Sum'!J5+'A1-Sum'!J6)-('A1-Sum'!I5+'A1-Sum'!I6))/('A1-Sum'!I5+'A1-Sum'!I6)),0,((('A1-Sum'!J5+'A1-Sum'!J6)-('A1-Sum'!I5+'A1-Sum'!I6))/('A1-Sum'!I5+'A1-Sum'!I6)))</f>
        <v>5.999999999999988E-2</v>
      </c>
      <c r="M94" s="1451">
        <f>IF(ISERROR((('A1-Sum'!K5+'A1-Sum'!K6)-('A1-Sum'!J5+'A1-Sum'!J6))/('A1-Sum'!J5+'A1-Sum'!J6)),0,((('A1-Sum'!K5+'A1-Sum'!K6)-('A1-Sum'!J5+'A1-Sum'!J6))/('A1-Sum'!J5+'A1-Sum'!J6)))</f>
        <v>5.9999999999999991E-2</v>
      </c>
    </row>
    <row r="95" spans="1:14" x14ac:dyDescent="0.25">
      <c r="A95" s="1425" t="s">
        <v>1769</v>
      </c>
      <c r="B95" s="1427"/>
      <c r="D95" s="171"/>
      <c r="E95" s="171"/>
      <c r="F95" s="1475"/>
      <c r="G95" s="1287"/>
      <c r="H95" s="845"/>
      <c r="I95" s="845"/>
      <c r="J95" s="1475"/>
      <c r="K95" s="1287"/>
      <c r="L95" s="845"/>
      <c r="M95" s="1443"/>
    </row>
    <row r="96" spans="1:14" x14ac:dyDescent="0.25">
      <c r="A96" s="79" t="s">
        <v>1770</v>
      </c>
      <c r="B96" s="1427"/>
      <c r="D96" s="1469"/>
      <c r="E96" s="1469">
        <f>IF(ISERROR(('A1-Sum'!C18-'A1-Sum'!B18)/'A1-Sum'!B18),0,(('A1-Sum'!C18-'A1-Sum'!B18)/'A1-Sum'!B18))</f>
        <v>9.6861482203476887E-2</v>
      </c>
      <c r="F96" s="1482">
        <f>IF(ISERROR(('A1-Sum'!D18-'A1-Sum'!C18)/'A1-Sum'!C18),0,(('A1-Sum'!D18-'A1-Sum'!C18)/'A1-Sum'!C18))</f>
        <v>6.3050191871914588E-2</v>
      </c>
      <c r="G96" s="1484">
        <f>IF(ISERROR(('A1-Sum'!E18-'A1-Sum'!D18)/'A1-Sum'!D18),0,(('A1-Sum'!E18-'A1-Sum'!D18)/'A1-Sum'!D18))</f>
        <v>0.70744483736598296</v>
      </c>
      <c r="H96" s="1469">
        <f>IF(ISERROR(('A1-Sum'!F18-'A1-Sum'!E18)/'A1-Sum'!E18),0,(('A1-Sum'!F18-'A1-Sum'!E18)/'A1-Sum'!E18))</f>
        <v>-2.1549641466399622E-2</v>
      </c>
      <c r="I96" s="1469">
        <f>IF(ISERROR(('A1-Sum'!G18-'A1-Sum'!F18)/'A1-Sum'!F18),0,(('A1-Sum'!G18-'A1-Sum'!F18)/'A1-Sum'!F18))</f>
        <v>0</v>
      </c>
      <c r="J96" s="1482">
        <f>IF(ISERROR(('A1-Sum'!H18-'A1-Sum'!G18)/'A1-Sum'!G18),0,(('A1-Sum'!H18-'A1-Sum'!G18)/'A1-Sum'!G18))</f>
        <v>0</v>
      </c>
      <c r="K96" s="1484">
        <f>IF(ISERROR(('A1-Sum'!I18-'A1-Sum'!F18)/'A1-Sum'!F18),0,(('A1-Sum'!I18-'A1-Sum'!F18)/'A1-Sum'!F18))</f>
        <v>5.0835681278996694E-2</v>
      </c>
      <c r="L96" s="1469">
        <f>IF(ISERROR(('A1-Sum'!J18-'A1-Sum'!I18)/'A1-Sum'!I18),0,(('A1-Sum'!J18-'A1-Sum'!I18)/'A1-Sum'!I18))</f>
        <v>5.4856812260984759E-2</v>
      </c>
      <c r="M96" s="1470">
        <f>IF(ISERROR(('A1-Sum'!K18-'A1-Sum'!J18)/'A1-Sum'!J18),0,(('A1-Sum'!K18-'A1-Sum'!J18)/'A1-Sum'!J18))</f>
        <v>6.2667320959416642E-2</v>
      </c>
    </row>
    <row r="97" spans="1:13" x14ac:dyDescent="0.25">
      <c r="A97" s="79" t="s">
        <v>1771</v>
      </c>
      <c r="B97" s="1427"/>
      <c r="D97" s="1469"/>
      <c r="E97" s="1469">
        <f>IF(ISERROR(('A1-Sum'!C11-'A1-Sum'!B11)/'A1-Sum'!B11),0,(('A1-Sum'!C11-'A1-Sum'!B11)/'A1-Sum'!B11))</f>
        <v>0.1804930759040993</v>
      </c>
      <c r="F97" s="1482">
        <f>IF(ISERROR(('A1-Sum'!D11-'A1-Sum'!C11)/'A1-Sum'!C11),0,(('A1-Sum'!D11-'A1-Sum'!C11)/'A1-Sum'!C11))</f>
        <v>7.9164356407660202E-2</v>
      </c>
      <c r="G97" s="1484">
        <f>IF(ISERROR(('A1-Sum'!E11-'A1-Sum'!D11)/'A1-Sum'!D11),0,(('A1-Sum'!E11-'A1-Sum'!D11)/'A1-Sum'!D11))</f>
        <v>0.23690885026724778</v>
      </c>
      <c r="H97" s="1469">
        <f>IF(ISERROR(('A1-Sum'!F11-'A1-Sum'!E11)/'A1-Sum'!E11),0,(('A1-Sum'!F11-'A1-Sum'!E11)/'A1-Sum'!E11))</f>
        <v>-5.3319127195754872E-2</v>
      </c>
      <c r="I97" s="1469">
        <f>IF(ISERROR(('A1-Sum'!G11-'A1-Sum'!F11)/'A1-Sum'!F11),0,(('A1-Sum'!G11-'A1-Sum'!F11)/'A1-Sum'!F11))</f>
        <v>0</v>
      </c>
      <c r="J97" s="1482">
        <f>IF(ISERROR(('A1-Sum'!H11-'A1-Sum'!G11)/'A1-Sum'!G11),0,(('A1-Sum'!H11-'A1-Sum'!G11)/'A1-Sum'!G11))</f>
        <v>0</v>
      </c>
      <c r="K97" s="1484">
        <f>IF(ISERROR(('A1-Sum'!I11-'A1-Sum'!F11)/'A1-Sum'!F11),0,(('A1-Sum'!I11-'A1-Sum'!F11)/'A1-Sum'!F11))</f>
        <v>0.13614152758092712</v>
      </c>
      <c r="L97" s="1469">
        <f>IF(ISERROR(('A1-Sum'!J11-'A1-Sum'!I11)/'A1-Sum'!I11),0,(('A1-Sum'!J11-'A1-Sum'!I11)/'A1-Sum'!I11))</f>
        <v>6.0000000011313823E-2</v>
      </c>
      <c r="M97" s="1470">
        <f>IF(ISERROR(('A1-Sum'!K11-'A1-Sum'!J11)/'A1-Sum'!J11),0,(('A1-Sum'!K11-'A1-Sum'!J11)/'A1-Sum'!J11))</f>
        <v>5.9999999970648102E-2</v>
      </c>
    </row>
    <row r="98" spans="1:13" x14ac:dyDescent="0.25">
      <c r="A98" s="79" t="s">
        <v>1772</v>
      </c>
      <c r="B98" s="1427"/>
      <c r="D98" s="1469"/>
      <c r="E98" s="1469">
        <f>IF(ISERROR(('SA1'!D86-'SA1'!C86)/'SA1'!C86),0,(('SA1'!D86-'SA1'!C86)/'SA1'!C86))</f>
        <v>6.0041044267295639E-2</v>
      </c>
      <c r="F98" s="1482">
        <f>IF(ISERROR(('SA1'!E86-'SA1'!D86)/'SA1'!D86),0,(('SA1'!E86-'SA1'!D86)/'SA1'!D86))</f>
        <v>9.4489296004437326E-2</v>
      </c>
      <c r="G98" s="1484">
        <f>IF(ISERROR(('SA1'!F86-'SA1'!E86)/'SA1'!E86),0,(('SA1'!F86-'SA1'!E86)/'SA1'!E86))</f>
        <v>0.15439568415129748</v>
      </c>
      <c r="H98" s="1469">
        <f>IF(ISERROR(('SA1'!G86-'SA1'!F86)/'SA1'!F86),0,(('SA1'!G86-'SA1'!F86)/'SA1'!F86))</f>
        <v>0</v>
      </c>
      <c r="I98" s="1469">
        <f>IF(ISERROR(('SA1'!H86-'SA1'!G86)/'SA1'!G86),0,(('SA1'!H86-'SA1'!G86)/'SA1'!G86))</f>
        <v>0</v>
      </c>
      <c r="J98" s="1482">
        <f>IF(ISERROR(('SA1'!I86-'SA1'!H86)/'SA1'!H86),0,(('SA1'!I86-'SA1'!H86)/'SA1'!H86))</f>
        <v>0</v>
      </c>
      <c r="K98" s="1484">
        <f>IF(ISERROR(('SA1'!J86-'SA1'!G86)/'SA1'!G86),0,(('SA1'!J86-'SA1'!G86)/'SA1'!G86))</f>
        <v>9.4000000000000056E-2</v>
      </c>
      <c r="L98" s="1469">
        <f>IF(ISERROR(('SA1'!K86-'SA1'!J86)/'SA1'!J86),0,(('SA1'!K86-'SA1'!J86)/'SA1'!J86))</f>
        <v>6.0000000000000053E-2</v>
      </c>
      <c r="M98" s="1470">
        <f>IF(ISERROR(('SA1'!L86-'SA1'!K86)/'SA1'!K86),0,(('SA1'!L86-'SA1'!K86)/'SA1'!K86))</f>
        <v>6.0000000000000039E-2</v>
      </c>
    </row>
    <row r="99" spans="1:13" x14ac:dyDescent="0.25">
      <c r="A99" s="79" t="s">
        <v>1857</v>
      </c>
      <c r="B99" s="1427"/>
      <c r="D99" s="171"/>
      <c r="E99" s="171"/>
      <c r="F99" s="434">
        <f>IF(ISERROR('A1-Sum'!D11/('SA24'!D36+'SA24'!E36-'SA24'!C5)),0,('A1-Sum'!D11/('SA24'!D36+'SA24'!E36-'SA24'!C5)))</f>
        <v>240499.01357466064</v>
      </c>
      <c r="G99" s="1486">
        <f>IF(ISERROR('A1-Sum'!E11/('SA24'!F36-'SA24'!F5)),0,('A1-Sum'!E11/('SA24'!F36-'SA24'!F5)))</f>
        <v>280948.94957264955</v>
      </c>
      <c r="H99" s="845"/>
      <c r="I99" s="845"/>
      <c r="J99" s="1475"/>
      <c r="K99" s="1486">
        <f>IF(ISERROR('A1-Sum'!I11/('SA24'!I36-'SA24'!I5)),0,('A1-Sum'!I11/('SA24'!I36-'SA24'!I5)))</f>
        <v>257126.36661818178</v>
      </c>
      <c r="L99" s="845"/>
      <c r="M99" s="1443"/>
    </row>
    <row r="100" spans="1:13" x14ac:dyDescent="0.25">
      <c r="A100" s="79" t="s">
        <v>1773</v>
      </c>
      <c r="B100" s="1427"/>
      <c r="D100" s="171"/>
      <c r="E100" s="171"/>
      <c r="F100" s="434">
        <f>IF(ISERROR('A1-Sum'!D12/'SA24'!C5),0,('A1-Sum'!D12/'SA24'!C5))</f>
        <v>323232.96875</v>
      </c>
      <c r="G100" s="1486">
        <f>IF(ISERROR('A1-Sum'!E12/'SA24'!F5),0,('A1-Sum'!E12/'SA24'!F5))</f>
        <v>343842.8071875</v>
      </c>
      <c r="H100" s="845"/>
      <c r="I100" s="845"/>
      <c r="J100" s="1475"/>
      <c r="K100" s="1486">
        <f>IF(ISERROR('A1-Sum'!I12/'SA24'!I5),0,('A1-Sum'!I12/'SA24'!I5))</f>
        <v>364473.37562499999</v>
      </c>
      <c r="L100" s="845"/>
      <c r="M100" s="1443"/>
    </row>
    <row r="101" spans="1:13" x14ac:dyDescent="0.25">
      <c r="A101" s="79" t="s">
        <v>1774</v>
      </c>
      <c r="B101" s="1428"/>
      <c r="D101" s="1469">
        <f>'A9-Asset'!C84</f>
        <v>0</v>
      </c>
      <c r="E101" s="1469">
        <f>'A9-Asset'!D84</f>
        <v>1.2E-2</v>
      </c>
      <c r="F101" s="1482">
        <f>'A9-Asset'!E84</f>
        <v>0.01</v>
      </c>
      <c r="G101" s="1484">
        <f>'A9-Asset'!F84</f>
        <v>0.17299999999999999</v>
      </c>
      <c r="H101" s="1469">
        <f>'A9-Asset'!G84</f>
        <v>0.16300000000000001</v>
      </c>
      <c r="I101" s="1469">
        <f>'A9-Asset'!H84</f>
        <v>0.16300000000000001</v>
      </c>
      <c r="J101" s="1482"/>
      <c r="K101" s="1484">
        <f>'A9-Asset'!I84</f>
        <v>0.158</v>
      </c>
      <c r="L101" s="1469">
        <f>'A9-Asset'!J84</f>
        <v>0.158</v>
      </c>
      <c r="M101" s="1470">
        <f>'A9-Asset'!K84</f>
        <v>0.158</v>
      </c>
    </row>
    <row r="102" spans="1:13" x14ac:dyDescent="0.25">
      <c r="A102" s="79" t="s">
        <v>1775</v>
      </c>
      <c r="B102" s="1428"/>
      <c r="D102" s="1469">
        <f>'A9-Asset'!C85</f>
        <v>0.37</v>
      </c>
      <c r="E102" s="1469">
        <f>'A9-Asset'!D85</f>
        <v>0.11</v>
      </c>
      <c r="F102" s="1482">
        <f>'A9-Asset'!E85</f>
        <v>7.0000000000000007E-2</v>
      </c>
      <c r="G102" s="1484">
        <f>'A9-Asset'!F85</f>
        <v>0</v>
      </c>
      <c r="H102" s="1469">
        <f>'A9-Asset'!G85</f>
        <v>0</v>
      </c>
      <c r="I102" s="1469">
        <f>'A9-Asset'!H85</f>
        <v>0</v>
      </c>
      <c r="J102" s="1482"/>
      <c r="K102" s="1484">
        <f>'A9-Asset'!I85</f>
        <v>0</v>
      </c>
      <c r="L102" s="1469">
        <f>'A9-Asset'!J85</f>
        <v>0</v>
      </c>
      <c r="M102" s="1470">
        <f>'A9-Asset'!K85</f>
        <v>0</v>
      </c>
    </row>
    <row r="103" spans="1:13" x14ac:dyDescent="0.25">
      <c r="A103" s="214" t="s">
        <v>1869</v>
      </c>
      <c r="B103" s="1439"/>
      <c r="C103" s="215"/>
      <c r="D103" s="1444">
        <f>'SA10'!D11</f>
        <v>3.5453747805815908E-2</v>
      </c>
      <c r="E103" s="1444">
        <f>'SA10'!E11</f>
        <v>9.0782838128790219E-2</v>
      </c>
      <c r="F103" s="1474">
        <f>'SA10'!F11</f>
        <v>4.425147937575926E-2</v>
      </c>
      <c r="G103" s="1479">
        <f>'SA10'!G11</f>
        <v>8.5550090201744797E-2</v>
      </c>
      <c r="H103" s="1444">
        <f>'SA10'!H11</f>
        <v>8.5195374688731285E-2</v>
      </c>
      <c r="I103" s="1444">
        <f>'SA10'!I11</f>
        <v>8.5195374688731285E-2</v>
      </c>
      <c r="J103" s="1444">
        <f>'SA10'!J11</f>
        <v>8.5195374688731285E-2</v>
      </c>
      <c r="K103" s="1479">
        <f>'SA10'!K11</f>
        <v>8.3977730825786703E-2</v>
      </c>
      <c r="L103" s="1444">
        <f>'SA10'!L11</f>
        <v>8.3977730825786703E-2</v>
      </c>
      <c r="M103" s="1451">
        <f>'SA10'!M11</f>
        <v>8.3977730825786703E-2</v>
      </c>
    </row>
    <row r="104" spans="1:13" x14ac:dyDescent="0.25">
      <c r="A104" s="1425" t="s">
        <v>1776</v>
      </c>
      <c r="B104" s="1427"/>
      <c r="D104" s="171"/>
      <c r="E104" s="171"/>
      <c r="F104" s="1475"/>
      <c r="G104" s="1287"/>
      <c r="H104" s="845"/>
      <c r="I104" s="845"/>
      <c r="J104" s="1475"/>
      <c r="K104" s="1287"/>
      <c r="L104" s="845"/>
      <c r="M104" s="1443"/>
    </row>
    <row r="105" spans="1:13" x14ac:dyDescent="0.25">
      <c r="A105" s="79" t="s">
        <v>1777</v>
      </c>
      <c r="B105" s="463"/>
      <c r="D105" s="1473">
        <f>'A1-Sum'!B29+'A1-Sum'!B31</f>
        <v>29338762.289999999</v>
      </c>
      <c r="E105" s="202">
        <f>'A1-Sum'!C29+'A1-Sum'!C31</f>
        <v>16836721.23</v>
      </c>
      <c r="F105" s="1476">
        <f>'A1-Sum'!D29+'A1-Sum'!D31</f>
        <v>14924388</v>
      </c>
      <c r="G105" s="1473">
        <f>'A1-Sum'!E29+'A1-Sum'!E31</f>
        <v>38410213</v>
      </c>
      <c r="H105" s="202">
        <f>'A1-Sum'!F29+'A1-Sum'!F31</f>
        <v>35599956</v>
      </c>
      <c r="I105" s="202">
        <f>'A1-Sum'!G29+'A1-Sum'!G31</f>
        <v>35599956</v>
      </c>
      <c r="J105" s="1476">
        <f>'A1-Sum'!H29+'A1-Sum'!H31</f>
        <v>35599956</v>
      </c>
      <c r="K105" s="1473">
        <f>'A1-Sum'!I29+'A1-Sum'!I31</f>
        <v>35107957.5</v>
      </c>
      <c r="L105" s="202">
        <f>'A1-Sum'!J29+'A1-Sum'!J31</f>
        <v>36366434.950000003</v>
      </c>
      <c r="M105" s="1449">
        <f>'A1-Sum'!K29+'A1-Sum'!K31</f>
        <v>38548421.049999997</v>
      </c>
    </row>
    <row r="106" spans="1:13" x14ac:dyDescent="0.25">
      <c r="A106" s="79" t="s">
        <v>1778</v>
      </c>
      <c r="B106" s="463"/>
      <c r="D106" s="1473">
        <f>'A1-Sum'!B30</f>
        <v>0</v>
      </c>
      <c r="E106" s="202">
        <f>'A1-Sum'!C30</f>
        <v>0</v>
      </c>
      <c r="F106" s="1476">
        <f>'A1-Sum'!D30</f>
        <v>0</v>
      </c>
      <c r="G106" s="1473">
        <f>'A1-Sum'!E30</f>
        <v>0</v>
      </c>
      <c r="H106" s="202">
        <f>'A1-Sum'!F30</f>
        <v>0</v>
      </c>
      <c r="I106" s="202">
        <f>'A1-Sum'!G30</f>
        <v>0</v>
      </c>
      <c r="J106" s="1476">
        <f>'A1-Sum'!H30</f>
        <v>0</v>
      </c>
      <c r="K106" s="1473">
        <f>'A1-Sum'!I30</f>
        <v>0</v>
      </c>
      <c r="L106" s="202">
        <f>'A1-Sum'!J30</f>
        <v>0</v>
      </c>
      <c r="M106" s="1449">
        <f>'A1-Sum'!K30</f>
        <v>0</v>
      </c>
    </row>
    <row r="107" spans="1:13" x14ac:dyDescent="0.25">
      <c r="A107" s="79" t="s">
        <v>1779</v>
      </c>
      <c r="B107" s="463"/>
      <c r="D107" s="1473">
        <f>'A1-Sum'!B28</f>
        <v>27406237.710000001</v>
      </c>
      <c r="E107" s="202">
        <f>'A1-Sum'!C28</f>
        <v>17905587.59</v>
      </c>
      <c r="F107" s="1476">
        <f>'A1-Sum'!D28</f>
        <v>31583815</v>
      </c>
      <c r="G107" s="1473">
        <f>'A1-Sum'!E28</f>
        <v>32405000</v>
      </c>
      <c r="H107" s="202">
        <f>'A1-Sum'!F28</f>
        <v>32855000</v>
      </c>
      <c r="I107" s="202">
        <f>'A1-Sum'!G28</f>
        <v>32855000</v>
      </c>
      <c r="J107" s="1476">
        <f>'A1-Sum'!H28</f>
        <v>32855000</v>
      </c>
      <c r="K107" s="1473">
        <f>'A1-Sum'!I28</f>
        <v>30400000</v>
      </c>
      <c r="L107" s="202">
        <f>'A1-Sum'!J28</f>
        <v>32570980</v>
      </c>
      <c r="M107" s="1449">
        <f>'A1-Sum'!K28</f>
        <v>35282498.799999997</v>
      </c>
    </row>
    <row r="108" spans="1:13" x14ac:dyDescent="0.25">
      <c r="A108" s="79" t="s">
        <v>1780</v>
      </c>
      <c r="B108" s="1429"/>
      <c r="D108" s="1445">
        <f>IF(ISERROR(('A1-Sum'!B29+'A1-Sum'!B31)/('A1-Sum'!B32-'A1-Sum'!B28)),0,(('A1-Sum'!B29+'A1-Sum'!B31)/('A1-Sum'!B32-'A1-Sum'!B28)))</f>
        <v>1</v>
      </c>
      <c r="E108" s="1445">
        <f>IF(ISERROR(('A1-Sum'!C29+'A1-Sum'!C31)/('A1-Sum'!C32-'A1-Sum'!C28)),0,(('A1-Sum'!C29+'A1-Sum'!C31)/('A1-Sum'!C32-'A1-Sum'!C28)))</f>
        <v>1</v>
      </c>
      <c r="F108" s="1477">
        <f>IF(ISERROR(('A1-Sum'!D29+'A1-Sum'!D31)/('A1-Sum'!D32-'A1-Sum'!D28)),0,(('A1-Sum'!D29+'A1-Sum'!D31)/('A1-Sum'!D32-'A1-Sum'!D28)))</f>
        <v>1</v>
      </c>
      <c r="G108" s="1480">
        <f>IF(ISERROR(('A1-Sum'!E29+'A1-Sum'!E31)/('A1-Sum'!E32-'A1-Sum'!E28)),0,(('A1-Sum'!E29+'A1-Sum'!E31)/('A1-Sum'!E32-'A1-Sum'!E28)))</f>
        <v>1</v>
      </c>
      <c r="H108" s="1445">
        <f>IF(ISERROR(('A1-Sum'!F29+'A1-Sum'!F31)/('A1-Sum'!F32-'A1-Sum'!F28)),0,(('A1-Sum'!F29+'A1-Sum'!F31)/('A1-Sum'!F32-'A1-Sum'!F28)))</f>
        <v>1</v>
      </c>
      <c r="I108" s="1445">
        <f>IF(ISERROR(('A1-Sum'!G29+'A1-Sum'!G31)/('A1-Sum'!G32-'A1-Sum'!G28)),0,(('A1-Sum'!G29+'A1-Sum'!G31)/('A1-Sum'!G32-'A1-Sum'!G28)))</f>
        <v>1</v>
      </c>
      <c r="J108" s="1477">
        <f>IF(ISERROR(('A1-Sum'!H29+'A1-Sum'!H31)/('A1-Sum'!H32-'A1-Sum'!H28)),0,(('A1-Sum'!H29+'A1-Sum'!H31)/('A1-Sum'!H32-'A1-Sum'!H28)))</f>
        <v>1</v>
      </c>
      <c r="K108" s="1480">
        <f>IF(ISERROR(('A1-Sum'!I29+'A1-Sum'!I31)/('A1-Sum'!I32-'A1-Sum'!I28)),0,(('A1-Sum'!I29+'A1-Sum'!I31)/('A1-Sum'!I32-'A1-Sum'!I28)))</f>
        <v>1</v>
      </c>
      <c r="L108" s="1445">
        <f>IF(ISERROR(('A1-Sum'!J29+'A1-Sum'!J31)/('A1-Sum'!J32-'A1-Sum'!J28)),0,(('A1-Sum'!J29+'A1-Sum'!J31)/('A1-Sum'!J32-'A1-Sum'!J28)))</f>
        <v>1</v>
      </c>
      <c r="M108" s="1452">
        <f>IF(ISERROR(('A1-Sum'!K29+'A1-Sum'!K31)/('A1-Sum'!K32-'A1-Sum'!K28)),0,(('A1-Sum'!K29+'A1-Sum'!K31)/('A1-Sum'!K32-'A1-Sum'!K28)))</f>
        <v>1</v>
      </c>
    </row>
    <row r="109" spans="1:13" x14ac:dyDescent="0.25">
      <c r="A109" s="79" t="s">
        <v>1781</v>
      </c>
      <c r="B109" s="1429"/>
      <c r="D109" s="1445">
        <f>IF(ISERROR('A1-Sum'!B30/('A1-Sum'!B32-'A1-Sum'!B28)),0,('A1-Sum'!B30/('A1-Sum'!B32-'A1-Sum'!B28)))</f>
        <v>0</v>
      </c>
      <c r="E109" s="1445">
        <f>IF(ISERROR('A1-Sum'!C30/('A1-Sum'!C32-'A1-Sum'!C28)),0,('A1-Sum'!C30/('A1-Sum'!C32-'A1-Sum'!C28)))</f>
        <v>0</v>
      </c>
      <c r="F109" s="1477">
        <f>IF(ISERROR('A1-Sum'!D30/('A1-Sum'!D32-'A1-Sum'!D28)),0,('A1-Sum'!D30/('A1-Sum'!D32-'A1-Sum'!D28)))</f>
        <v>0</v>
      </c>
      <c r="G109" s="1480">
        <f>IF(ISERROR('A1-Sum'!E30/('A1-Sum'!E32-'A1-Sum'!E28)),0,('A1-Sum'!E30/('A1-Sum'!E32-'A1-Sum'!E28)))</f>
        <v>0</v>
      </c>
      <c r="H109" s="1445">
        <f>IF(ISERROR('A1-Sum'!F30/('A1-Sum'!F32-'A1-Sum'!F28)),0,('A1-Sum'!F30/('A1-Sum'!F32-'A1-Sum'!F28)))</f>
        <v>0</v>
      </c>
      <c r="I109" s="1445">
        <f>IF(ISERROR('A1-Sum'!G30/('A1-Sum'!G32-'A1-Sum'!G28)),0,('A1-Sum'!G30/('A1-Sum'!G32-'A1-Sum'!G28)))</f>
        <v>0</v>
      </c>
      <c r="J109" s="1477">
        <f>IF(ISERROR('A1-Sum'!H30/('A1-Sum'!H32-'A1-Sum'!H28)),0,('A1-Sum'!H30/('A1-Sum'!H32-'A1-Sum'!H28)))</f>
        <v>0</v>
      </c>
      <c r="K109" s="1480">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1782</v>
      </c>
      <c r="B110" s="1439"/>
      <c r="C110" s="215"/>
      <c r="D110" s="1471">
        <f>IF(ISERROR('A1-Sum'!B28/'A1-Sum'!B32),0,('A1-Sum'!B28/'A1-Sum'!B32))</f>
        <v>0.48297185144065558</v>
      </c>
      <c r="E110" s="1471">
        <f>IF(ISERROR('A1-Sum'!C28/'A1-Sum'!C32),0,('A1-Sum'!C28/'A1-Sum'!C32))</f>
        <v>0.51538277673970656</v>
      </c>
      <c r="F110" s="1478">
        <f>IF(ISERROR('A1-Sum'!D28/'A1-Sum'!D32),0,('A1-Sum'!D28/'A1-Sum'!D32))</f>
        <v>0.67910202851742085</v>
      </c>
      <c r="G110" s="1481">
        <f>IF(ISERROR('A1-Sum'!E28/'A1-Sum'!E32),0,('A1-Sum'!E28/'A1-Sum'!E32))</f>
        <v>0.45759941440831364</v>
      </c>
      <c r="H110" s="1471">
        <f>IF(ISERROR('A1-Sum'!F28/'A1-Sum'!F32),0,('A1-Sum'!F28/'A1-Sum'!F32))</f>
        <v>0.47995064082723243</v>
      </c>
      <c r="I110" s="1471">
        <f>IF(ISERROR('A1-Sum'!G28/'A1-Sum'!G32),0,('A1-Sum'!G28/'A1-Sum'!G32))</f>
        <v>0.47995064082723243</v>
      </c>
      <c r="J110" s="1478">
        <f>IF(ISERROR('A1-Sum'!H28/'A1-Sum'!H32),0,('A1-Sum'!H28/'A1-Sum'!H32))</f>
        <v>0.47995064082723243</v>
      </c>
      <c r="K110" s="1481">
        <f>IF(ISERROR('A1-Sum'!I28/'A1-Sum'!I32),0,('A1-Sum'!I28/'A1-Sum'!I32))</f>
        <v>0.46406575872862471</v>
      </c>
      <c r="L110" s="1471">
        <f>IF(ISERROR('A1-Sum'!J28/'A1-Sum'!J32),0,('A1-Sum'!J28/'A1-Sum'!J32))</f>
        <v>0.47247173430601636</v>
      </c>
      <c r="M110" s="1472">
        <f>IF(ISERROR('A1-Sum'!K28/'A1-Sum'!K32),0,('A1-Sum'!K28/'A1-Sum'!K32))</f>
        <v>0.47788242204868048</v>
      </c>
    </row>
    <row r="111" spans="1:13" x14ac:dyDescent="0.25">
      <c r="A111" s="1425" t="s">
        <v>1783</v>
      </c>
      <c r="B111" s="1427"/>
      <c r="D111" s="171"/>
      <c r="E111" s="171"/>
      <c r="F111" s="1475"/>
      <c r="G111" s="1287"/>
      <c r="H111" s="845"/>
      <c r="I111" s="845"/>
      <c r="J111" s="1475"/>
      <c r="K111" s="1287"/>
      <c r="L111" s="845"/>
      <c r="M111" s="1443"/>
    </row>
    <row r="112" spans="1:13" x14ac:dyDescent="0.25">
      <c r="A112" s="124" t="s">
        <v>1784</v>
      </c>
      <c r="B112" s="463"/>
      <c r="D112" s="1473">
        <f>'A1-Sum'!B27</f>
        <v>56745000</v>
      </c>
      <c r="E112" s="202">
        <f>'A1-Sum'!C27</f>
        <v>34742308.82</v>
      </c>
      <c r="F112" s="1476">
        <f>'A1-Sum'!D27</f>
        <v>46508203</v>
      </c>
      <c r="G112" s="1473">
        <f>'A1-Sum'!E27</f>
        <v>70815213</v>
      </c>
      <c r="H112" s="202">
        <f>'A1-Sum'!F27</f>
        <v>68454956</v>
      </c>
      <c r="I112" s="202">
        <f>'A1-Sum'!G27</f>
        <v>68454956</v>
      </c>
      <c r="J112" s="1476">
        <f>'A1-Sum'!H27</f>
        <v>68454956</v>
      </c>
      <c r="K112" s="1473">
        <f>'A1-Sum'!I27</f>
        <v>65507958</v>
      </c>
      <c r="L112" s="202">
        <f>'A1-Sum'!J27</f>
        <v>68937415</v>
      </c>
      <c r="M112" s="1449">
        <f>'A1-Sum'!K27</f>
        <v>73830919.75999999</v>
      </c>
    </row>
    <row r="113" spans="1:13" x14ac:dyDescent="0.25">
      <c r="A113" s="124" t="s">
        <v>1785</v>
      </c>
      <c r="B113" s="463"/>
      <c r="D113" s="1473">
        <f>'A1-Sum'!B55</f>
        <v>29593000</v>
      </c>
      <c r="E113" s="202">
        <f>'A1-Sum'!C55</f>
        <v>3194043.63</v>
      </c>
      <c r="F113" s="1476">
        <f>'A1-Sum'!D55</f>
        <v>0</v>
      </c>
      <c r="G113" s="1473">
        <f>'A1-Sum'!E55</f>
        <v>11942501</v>
      </c>
      <c r="H113" s="202">
        <f>'A1-Sum'!F55</f>
        <v>6626001</v>
      </c>
      <c r="I113" s="202">
        <f>'A1-Sum'!G55</f>
        <v>6626001</v>
      </c>
      <c r="J113" s="1476">
        <f>'A1-Sum'!H55</f>
        <v>6626001</v>
      </c>
      <c r="K113" s="1473">
        <f>'A1-Sum'!I55</f>
        <v>22091600</v>
      </c>
      <c r="L113" s="202">
        <f>'A1-Sum'!J55</f>
        <v>23417096</v>
      </c>
      <c r="M113" s="1449">
        <f>'A1-Sum'!K55</f>
        <v>24822121.760000002</v>
      </c>
    </row>
    <row r="114" spans="1:13" x14ac:dyDescent="0.25">
      <c r="A114" s="1437" t="s">
        <v>1786</v>
      </c>
      <c r="B114" s="1439"/>
      <c r="C114" s="215"/>
      <c r="D114" s="1444">
        <f>IF(ISERROR('A1-Sum'!B55/'A1-Sum'!B32),0,('A1-Sum'!B55/'A1-Sum'!B32))</f>
        <v>0.52150850295180196</v>
      </c>
      <c r="E114" s="1444">
        <f>IF(ISERROR('A1-Sum'!C55/'A1-Sum'!C32),0,('A1-Sum'!C55/'A1-Sum'!C32))</f>
        <v>9.1935272538976875E-2</v>
      </c>
      <c r="F114" s="1474">
        <f>IF(ISERROR('A1-Sum'!D55/'A1-Sum'!D32),0,('A1-Sum'!D55/'A1-Sum'!D32))</f>
        <v>0</v>
      </c>
      <c r="G114" s="1479">
        <f>IF(ISERROR('A1-Sum'!E55/'A1-Sum'!E32),0,('A1-Sum'!E55/'A1-Sum'!E32))</f>
        <v>0.16864315581455641</v>
      </c>
      <c r="H114" s="1444">
        <f>IF(ISERROR('A1-Sum'!F55/'A1-Sum'!F32),0,('A1-Sum'!F55/'A1-Sum'!F32))</f>
        <v>9.6793590810284061E-2</v>
      </c>
      <c r="I114" s="1444">
        <f>IF(ISERROR('A1-Sum'!G55/'A1-Sum'!G32),0,('A1-Sum'!G55/'A1-Sum'!G32))</f>
        <v>9.6793590810284061E-2</v>
      </c>
      <c r="J114" s="1451">
        <f>IF(ISERROR('A1-Sum'!H55/'A1-Sum'!H32),0,('A1-Sum'!H55/'A1-Sum'!H32))</f>
        <v>9.6793590810284061E-2</v>
      </c>
      <c r="K114" s="2054">
        <f>IF(ISERROR('A1-Sum'!I55/'A1-Sum'!I32),0,('A1-Sum'!I55/'A1-Sum'!I32))</f>
        <v>0.33723536564241069</v>
      </c>
      <c r="L114" s="1444">
        <f>IF(ISERROR('A1-Sum'!J55/'A1-Sum'!J32),0,('A1-Sum'!J55/'A1-Sum'!J32))</f>
        <v>0.33968630847246467</v>
      </c>
      <c r="M114" s="1444">
        <f>IF(ISERROR('A1-Sum'!K55/'A1-Sum'!K32),0,('A1-Sum'!K55/'A1-Sum'!K32))</f>
        <v>0.33620225523981473</v>
      </c>
    </row>
    <row r="115" spans="1:13" x14ac:dyDescent="0.25">
      <c r="A115" s="1425" t="s">
        <v>659</v>
      </c>
      <c r="B115" s="1427"/>
      <c r="D115" s="171"/>
      <c r="E115" s="171"/>
      <c r="F115" s="1475"/>
      <c r="G115" s="1287"/>
      <c r="H115" s="845"/>
      <c r="I115" s="845"/>
      <c r="J115" s="1475"/>
      <c r="K115" s="1287"/>
      <c r="L115" s="845"/>
      <c r="M115" s="1443"/>
    </row>
    <row r="116" spans="1:13" x14ac:dyDescent="0.25">
      <c r="A116" s="124" t="s">
        <v>1787</v>
      </c>
      <c r="B116" s="1429"/>
      <c r="D116" s="1445">
        <f>'SA10'!D10</f>
        <v>0.81945480950881855</v>
      </c>
      <c r="E116" s="1445">
        <f>'SA10'!E10</f>
        <v>0.95700399620430721</v>
      </c>
      <c r="F116" s="1477">
        <f>'SA10'!F10</f>
        <v>0.86867455793722603</v>
      </c>
      <c r="G116" s="1480">
        <f>'SA10'!G10</f>
        <v>0.96523128093539379</v>
      </c>
      <c r="H116" s="1445">
        <f>'SA10'!H10</f>
        <v>0.9869334685018718</v>
      </c>
      <c r="I116" s="1445">
        <f>'SA10'!I10</f>
        <v>0.95688873934477847</v>
      </c>
      <c r="J116" s="1477">
        <f>'SA10'!J10</f>
        <v>0.95688873934477847</v>
      </c>
      <c r="K116" s="1480">
        <f>'SA10'!K10</f>
        <v>0.97784385341868507</v>
      </c>
      <c r="L116" s="1445">
        <f>'SA10'!L10</f>
        <v>0.97784385343618829</v>
      </c>
      <c r="M116" s="1452">
        <f>'SA10'!M10</f>
        <v>0.97784385351716951</v>
      </c>
    </row>
    <row r="117" spans="1:13" x14ac:dyDescent="0.25">
      <c r="A117" s="1437" t="s">
        <v>1788</v>
      </c>
      <c r="B117" s="1440"/>
      <c r="C117" s="215"/>
      <c r="D117" s="1447">
        <f>'SA10'!D7</f>
        <v>4.4384764737358404</v>
      </c>
      <c r="E117" s="1447">
        <f>'SA10'!E7</f>
        <v>10.178738760143675</v>
      </c>
      <c r="F117" s="1483">
        <f>'SA10'!F7</f>
        <v>18.586188176216524</v>
      </c>
      <c r="G117" s="1485">
        <f>'SA10'!G7</f>
        <v>5.3397340171778653</v>
      </c>
      <c r="H117" s="1447">
        <f>'SA10'!H7</f>
        <v>6.0802730130093376</v>
      </c>
      <c r="I117" s="1447">
        <f>'SA10'!I7</f>
        <v>6.0802730130093394</v>
      </c>
      <c r="J117" s="1483">
        <f>'SA10'!J7</f>
        <v>6.0802730130093394</v>
      </c>
      <c r="K117" s="1485">
        <f>'SA10'!K7</f>
        <v>-3.1433944532063965E-9</v>
      </c>
      <c r="L117" s="1447">
        <f>'SA10'!L7</f>
        <v>0.2270018903346776</v>
      </c>
      <c r="M117" s="1453">
        <f>'SA10'!M7</f>
        <v>0.41112006425080844</v>
      </c>
    </row>
    <row r="118" spans="1:13" x14ac:dyDescent="0.25">
      <c r="A118" s="1425" t="s">
        <v>1231</v>
      </c>
      <c r="B118" s="1427"/>
      <c r="D118" s="171"/>
      <c r="E118" s="171"/>
      <c r="F118" s="1475"/>
      <c r="G118" s="1287"/>
      <c r="H118" s="845"/>
      <c r="I118" s="845"/>
      <c r="J118" s="1475"/>
      <c r="K118" s="1287"/>
      <c r="L118" s="845"/>
      <c r="M118" s="1443"/>
    </row>
    <row r="119" spans="1:13" ht="5.0999999999999996" customHeight="1" x14ac:dyDescent="0.25">
      <c r="A119" s="1426"/>
      <c r="B119" s="1429"/>
      <c r="D119" s="1469"/>
      <c r="E119" s="1469"/>
      <c r="F119" s="1482"/>
      <c r="G119" s="1484"/>
      <c r="H119" s="1469"/>
      <c r="I119" s="1469"/>
      <c r="J119" s="1482"/>
      <c r="K119" s="1484"/>
      <c r="L119" s="1469"/>
      <c r="M119" s="1470"/>
    </row>
    <row r="120" spans="1:13" x14ac:dyDescent="0.25">
      <c r="A120" s="1426" t="s">
        <v>1789</v>
      </c>
      <c r="B120" s="1427"/>
      <c r="D120" s="1450"/>
      <c r="E120" s="171"/>
      <c r="F120" s="1475"/>
      <c r="G120" s="1287"/>
      <c r="H120" s="845"/>
      <c r="I120" s="845"/>
      <c r="J120" s="1475"/>
      <c r="K120" s="1486">
        <f>'SA8'!F6</f>
        <v>0</v>
      </c>
      <c r="L120" s="845"/>
      <c r="M120" s="1443"/>
    </row>
    <row r="121" spans="1:13" x14ac:dyDescent="0.25">
      <c r="A121" s="1426" t="s">
        <v>1790</v>
      </c>
      <c r="B121" s="1429"/>
      <c r="D121" s="1469">
        <f>'SA8'!C7</f>
        <v>1.7704709571640088E-2</v>
      </c>
      <c r="E121" s="1469">
        <f>'SA8'!D7</f>
        <v>8.5111012212640454E-3</v>
      </c>
      <c r="F121" s="1482">
        <f>'SA8'!E7</f>
        <v>2.6186575992637488E-3</v>
      </c>
      <c r="G121" s="1484">
        <f>'SA8'!F7</f>
        <v>1.1662127796968652E-2</v>
      </c>
      <c r="H121" s="1469">
        <f>'SA8'!G7</f>
        <v>9.2419181740772266E-3</v>
      </c>
      <c r="I121" s="1469">
        <f>'SA8'!H7</f>
        <v>9.2419181740772266E-3</v>
      </c>
      <c r="J121" s="1482">
        <f>'SA8'!I7</f>
        <v>9.2419181740772266E-3</v>
      </c>
      <c r="K121" s="1484">
        <f>'SA8'!J7</f>
        <v>8.4807007722726511E-3</v>
      </c>
      <c r="L121" s="1469">
        <f>'SA8'!K7</f>
        <v>8.5220503049516123E-3</v>
      </c>
      <c r="M121" s="1470">
        <f>'SA8'!L7</f>
        <v>8.5006597503092824E-3</v>
      </c>
    </row>
    <row r="122" spans="1:13" x14ac:dyDescent="0.25">
      <c r="A122" s="1441" t="s">
        <v>1791</v>
      </c>
      <c r="B122" s="1439"/>
      <c r="C122" s="215"/>
      <c r="D122" s="1444">
        <f>'SA10'!D13</f>
        <v>0</v>
      </c>
      <c r="E122" s="1444">
        <f>'SA10'!E13</f>
        <v>4.8457650235086164E-2</v>
      </c>
      <c r="F122" s="1474">
        <f>'SA10'!F13</f>
        <v>0</v>
      </c>
      <c r="G122" s="1479">
        <f>'SA10'!G13</f>
        <v>0</v>
      </c>
      <c r="H122" s="1444">
        <f>'SA10'!H13</f>
        <v>0</v>
      </c>
      <c r="I122" s="1444">
        <f>'SA10'!I13</f>
        <v>0</v>
      </c>
      <c r="J122" s="1474">
        <f>'SA10'!J13</f>
        <v>0</v>
      </c>
      <c r="K122" s="1479">
        <f>'SA10'!K13</f>
        <v>0</v>
      </c>
      <c r="L122" s="1444">
        <f>'SA10'!L13</f>
        <v>0</v>
      </c>
      <c r="M122" s="1451">
        <f>'SA10'!M13</f>
        <v>0</v>
      </c>
    </row>
    <row r="123" spans="1:13" x14ac:dyDescent="0.25">
      <c r="A123" s="1425" t="s">
        <v>706</v>
      </c>
      <c r="B123" s="1427"/>
      <c r="D123" s="171"/>
      <c r="E123" s="171"/>
      <c r="F123" s="1475"/>
      <c r="G123" s="1287"/>
      <c r="H123" s="845"/>
      <c r="I123" s="845"/>
      <c r="J123" s="1475"/>
      <c r="K123" s="1287"/>
      <c r="L123" s="845"/>
      <c r="M123" s="432"/>
    </row>
    <row r="124" spans="1:13" x14ac:dyDescent="0.25">
      <c r="A124" s="1437" t="s">
        <v>1627</v>
      </c>
      <c r="B124" s="1442"/>
      <c r="C124" s="215"/>
      <c r="D124" s="1447">
        <f>'A8-ResRecon'!C19</f>
        <v>34565817</v>
      </c>
      <c r="E124" s="1447">
        <f>'A8-ResRecon'!D19</f>
        <v>17575272</v>
      </c>
      <c r="F124" s="1483">
        <f>'A8-ResRecon'!E19</f>
        <v>56624699</v>
      </c>
      <c r="G124" s="1485">
        <f>'A8-ResRecon'!F19</f>
        <v>29896000</v>
      </c>
      <c r="H124" s="1447">
        <f>'A8-ResRecon'!G19</f>
        <v>29961000</v>
      </c>
      <c r="I124" s="1447">
        <f>'A8-ResRecon'!H19</f>
        <v>29871000</v>
      </c>
      <c r="J124" s="1483">
        <f>'A8-ResRecon'!I19</f>
        <v>29871000</v>
      </c>
      <c r="K124" s="1485">
        <f>'A8-ResRecon'!J19</f>
        <v>63009807.997299999</v>
      </c>
      <c r="L124" s="1447">
        <f>'A8-ResRecon'!K19</f>
        <v>64913007.997299999</v>
      </c>
      <c r="M124" s="1453">
        <f>'A8-ResRecon'!L19</f>
        <v>66931239.997299999</v>
      </c>
    </row>
    <row r="125" spans="1:13" x14ac:dyDescent="0.25">
      <c r="A125" s="1425" t="s">
        <v>1792</v>
      </c>
      <c r="B125" s="1427"/>
      <c r="D125" s="171"/>
      <c r="E125" s="171"/>
      <c r="F125" s="1475"/>
      <c r="G125" s="1287"/>
      <c r="H125" s="845"/>
      <c r="I125" s="845"/>
      <c r="J125" s="432"/>
      <c r="K125" s="1450"/>
      <c r="L125" s="845"/>
      <c r="M125" s="1443"/>
    </row>
    <row r="126" spans="1:13" x14ac:dyDescent="0.25">
      <c r="A126" s="124" t="s">
        <v>1793</v>
      </c>
      <c r="B126" s="1430"/>
      <c r="D126" s="1469">
        <f>IF(ISERROR('A10-SerDel'!C60/'SA18'!C8),0,('A10-SerDel'!C60/'SA18'!C8))</f>
        <v>0</v>
      </c>
      <c r="E126" s="1469">
        <f>IF(ISERROR('A10-SerDel'!D60/'SA18'!D8),0,('A10-SerDel'!D60/'SA18'!D8))</f>
        <v>0</v>
      </c>
      <c r="F126" s="1482">
        <f>IF(ISERROR('A10-SerDel'!E60/'SA18'!E8),0,('A10-SerDel'!E60/'SA18'!E8))</f>
        <v>0</v>
      </c>
      <c r="G126" s="1484">
        <f>IF(ISERROR('A10-SerDel'!F60/'SA18'!F8),0,('A10-SerDel'!F60/'SA18'!F8))</f>
        <v>0</v>
      </c>
      <c r="H126" s="1469">
        <f>IF(ISERROR('A10-SerDel'!G60/'SA18'!G8),0,('A10-SerDel'!G60/'SA18'!G8))</f>
        <v>0</v>
      </c>
      <c r="I126" s="1469">
        <f>IF(ISERROR('A10-SerDel'!H60/'SA18'!H8),0,('A10-SerDel'!H60/'SA18'!H8))</f>
        <v>0</v>
      </c>
      <c r="J126" s="1470"/>
      <c r="K126" s="1487">
        <f>IF(ISERROR('A10-SerDel'!I60/'SA18'!I8),0,('A10-SerDel'!I60/'SA18'!I8))</f>
        <v>0</v>
      </c>
      <c r="L126" s="1469">
        <f>IF(ISERROR('A10-SerDel'!J60/'SA18'!J8),0,('A10-SerDel'!J60/'SA18'!J8))</f>
        <v>0</v>
      </c>
      <c r="M126" s="1470">
        <f>IF(ISERROR('A10-SerDel'!K60/'SA18'!K8),0,('A10-SerDel'!K60/'SA18'!K8))</f>
        <v>0</v>
      </c>
    </row>
    <row r="127" spans="1:13" ht="25.5" x14ac:dyDescent="0.25">
      <c r="A127" s="1431" t="s">
        <v>1794</v>
      </c>
      <c r="B127" s="1429"/>
      <c r="D127" s="1469">
        <f>IF(ISERROR('A10-SerDel'!C79/('A1-Sum'!B10-'A1-Sum'!B8)),0,('A10-SerDel'!C79/('A1-Sum'!B10-'A1-Sum'!B8)))</f>
        <v>0</v>
      </c>
      <c r="E127" s="1469">
        <f>IF(ISERROR('A10-SerDel'!D79/('A1-Sum'!C10-'A1-Sum'!C8)),0,('A10-SerDel'!D79/('A1-Sum'!C10-'A1-Sum'!C8)))</f>
        <v>0</v>
      </c>
      <c r="F127" s="1470">
        <f>IF(ISERROR('A10-SerDel'!E79/('A1-Sum'!D10-'A1-Sum'!D8)),0,('A10-SerDel'!E79/('A1-Sum'!D10-'A1-Sum'!D8)))</f>
        <v>0</v>
      </c>
      <c r="G127" s="1487">
        <f>IF(ISERROR('A10-SerDel'!F79/('A1-Sum'!E10-'A1-Sum'!E8)),0,('A10-SerDel'!F79/('A1-Sum'!E10-'A1-Sum'!E8)))</f>
        <v>0</v>
      </c>
      <c r="H127" s="1469">
        <f>IF(ISERROR('A10-SerDel'!G79/('A1-Sum'!F10-'A1-Sum'!F8)),0,('A10-SerDel'!G79/('A1-Sum'!F10-'A1-Sum'!F8)))</f>
        <v>0</v>
      </c>
      <c r="I127" s="1469">
        <f>IF(ISERROR('A10-SerDel'!H79/('A1-Sum'!G10-'A1-Sum'!G8)),0,('A10-SerDel'!H79/('A1-Sum'!G10-'A1-Sum'!G8)))</f>
        <v>0</v>
      </c>
      <c r="J127" s="1470"/>
      <c r="K127" s="1487">
        <f>IF(ISERROR('A10-SerDel'!I79/('A1-Sum'!I10-'A1-Sum'!I8)),0,('A10-SerDel'!I79/('A1-Sum'!I10-'A1-Sum'!I8)))</f>
        <v>0</v>
      </c>
      <c r="L127" s="1469">
        <f>IF(ISERROR('A10-SerDel'!J79/('A1-Sum'!J10-'A1-Sum'!J8)),0,('A10-SerDel'!J79/('A1-Sum'!J10-'A1-Sum'!J8)))</f>
        <v>0</v>
      </c>
      <c r="M127" s="1469">
        <f>IF(ISERROR('A10-SerDel'!K79/('A1-Sum'!K10-'A1-Sum'!K8)),0,('A10-SerDel'!K79/('A1-Sum'!K10-'A1-Sum'!K8)))</f>
        <v>0</v>
      </c>
    </row>
    <row r="128" spans="1:13" ht="5.25" customHeight="1" x14ac:dyDescent="0.25">
      <c r="A128" s="1431"/>
      <c r="B128" s="1429"/>
      <c r="D128" s="1487"/>
      <c r="E128" s="1469"/>
      <c r="F128" s="1451"/>
      <c r="G128" s="1487"/>
      <c r="H128" s="1469"/>
      <c r="I128" s="1469"/>
      <c r="J128" s="1470"/>
      <c r="K128" s="1487"/>
      <c r="L128" s="1469"/>
      <c r="M128" s="1470"/>
    </row>
    <row r="129" spans="1:13" ht="18" customHeight="1" x14ac:dyDescent="0.25">
      <c r="A129" s="1488" t="s">
        <v>1838</v>
      </c>
      <c r="B129" s="1491"/>
      <c r="C129" s="1492"/>
      <c r="D129" s="1493"/>
      <c r="E129" s="1494"/>
      <c r="F129" s="1495"/>
      <c r="G129" s="1496"/>
      <c r="H129" s="1497"/>
      <c r="I129" s="1497"/>
      <c r="J129" s="1495"/>
      <c r="K129" s="1496"/>
      <c r="L129" s="1497"/>
      <c r="M129" s="1495"/>
    </row>
    <row r="130" spans="1:13" ht="13.5" x14ac:dyDescent="0.25">
      <c r="A130" s="1489" t="s">
        <v>1761</v>
      </c>
      <c r="B130" s="1498"/>
      <c r="C130" s="1499"/>
      <c r="D130" s="1500">
        <f>D86</f>
        <v>151482938.97</v>
      </c>
      <c r="E130" s="1500">
        <f t="shared" ref="E130:M130" si="10">E86</f>
        <v>162639920</v>
      </c>
      <c r="F130" s="1509">
        <f t="shared" si="10"/>
        <v>187146398</v>
      </c>
      <c r="G130" s="1500">
        <f t="shared" si="10"/>
        <v>224769350.6902</v>
      </c>
      <c r="H130" s="1500">
        <f t="shared" si="10"/>
        <v>223724979.59999999</v>
      </c>
      <c r="I130" s="1500">
        <f t="shared" si="10"/>
        <v>223724979.59999999</v>
      </c>
      <c r="J130" s="1509">
        <f>J86</f>
        <v>223724979.59999999</v>
      </c>
      <c r="K130" s="1500">
        <f t="shared" si="10"/>
        <v>229851865.36331999</v>
      </c>
      <c r="L130" s="1500">
        <f t="shared" si="10"/>
        <v>244922537.37491921</v>
      </c>
      <c r="M130" s="1509">
        <f t="shared" si="10"/>
        <v>259495730.05781436</v>
      </c>
    </row>
    <row r="131" spans="1:13" ht="13.5" x14ac:dyDescent="0.25">
      <c r="A131" s="1489" t="s">
        <v>1762</v>
      </c>
      <c r="B131" s="1498"/>
      <c r="C131" s="1499"/>
      <c r="D131" s="1500">
        <f t="shared" ref="D131:M132" si="11">D87</f>
        <v>153405509.93000001</v>
      </c>
      <c r="E131" s="1500">
        <f t="shared" si="11"/>
        <v>168264595</v>
      </c>
      <c r="F131" s="1509">
        <f t="shared" si="11"/>
        <v>178873710</v>
      </c>
      <c r="G131" s="1500">
        <f t="shared" si="11"/>
        <v>305416992.68000001</v>
      </c>
      <c r="H131" s="1500">
        <f t="shared" si="11"/>
        <v>298835365.99000001</v>
      </c>
      <c r="I131" s="1500">
        <f t="shared" si="11"/>
        <v>298835365.99000001</v>
      </c>
      <c r="J131" s="1509">
        <f t="shared" si="11"/>
        <v>298835365.99000001</v>
      </c>
      <c r="K131" s="1500">
        <f t="shared" si="11"/>
        <v>314026865.41035998</v>
      </c>
      <c r="L131" s="1500">
        <f t="shared" si="11"/>
        <v>331253378.21108162</v>
      </c>
      <c r="M131" s="1509">
        <f t="shared" si="11"/>
        <v>352012139.98232651</v>
      </c>
    </row>
    <row r="132" spans="1:13" ht="13.5" x14ac:dyDescent="0.25">
      <c r="A132" s="1489" t="s">
        <v>1839</v>
      </c>
      <c r="B132" s="1498"/>
      <c r="C132" s="1499"/>
      <c r="D132" s="1500">
        <f t="shared" si="11"/>
        <v>-1922570.9600000083</v>
      </c>
      <c r="E132" s="1500">
        <f t="shared" si="11"/>
        <v>-5624675</v>
      </c>
      <c r="F132" s="1509">
        <f t="shared" si="11"/>
        <v>8272688</v>
      </c>
      <c r="G132" s="1500">
        <f t="shared" si="11"/>
        <v>-80647641.989800006</v>
      </c>
      <c r="H132" s="1500">
        <f t="shared" si="11"/>
        <v>-75110386.390000015</v>
      </c>
      <c r="I132" s="1500">
        <f t="shared" si="11"/>
        <v>-75110386.390000015</v>
      </c>
      <c r="J132" s="1509">
        <f t="shared" si="11"/>
        <v>-75110386.390000015</v>
      </c>
      <c r="K132" s="1500">
        <f t="shared" si="11"/>
        <v>-84175000.047039986</v>
      </c>
      <c r="L132" s="1500">
        <f t="shared" si="11"/>
        <v>-86330840.836162418</v>
      </c>
      <c r="M132" s="1509">
        <f t="shared" si="11"/>
        <v>-92516409.924512148</v>
      </c>
    </row>
    <row r="133" spans="1:13" ht="13.5" x14ac:dyDescent="0.25">
      <c r="A133" s="1489" t="s">
        <v>1841</v>
      </c>
      <c r="B133" s="1498"/>
      <c r="C133" s="1499"/>
      <c r="D133" s="1500">
        <f>'A8-ResRecon'!C19</f>
        <v>34565817</v>
      </c>
      <c r="E133" s="1500">
        <f>'A8-ResRecon'!D19</f>
        <v>17575272</v>
      </c>
      <c r="F133" s="1509">
        <f>'A8-ResRecon'!E19</f>
        <v>56624699</v>
      </c>
      <c r="G133" s="1500">
        <f>'A8-ResRecon'!F19</f>
        <v>29896000</v>
      </c>
      <c r="H133" s="1500">
        <f>'A8-ResRecon'!G19</f>
        <v>29961000</v>
      </c>
      <c r="I133" s="1500">
        <f>'A8-ResRecon'!H19</f>
        <v>29871000</v>
      </c>
      <c r="J133" s="1509">
        <f>'A8-ResRecon'!I19</f>
        <v>29871000</v>
      </c>
      <c r="K133" s="1500">
        <f>'A8-ResRecon'!J19</f>
        <v>63009807.997299999</v>
      </c>
      <c r="L133" s="1500">
        <f>'A8-ResRecon'!K19</f>
        <v>64913007.997299999</v>
      </c>
      <c r="M133" s="1509">
        <f>'A8-ResRecon'!L19</f>
        <v>66931239.997299999</v>
      </c>
    </row>
    <row r="134" spans="1:13" ht="13.5" x14ac:dyDescent="0.25">
      <c r="A134" s="1490" t="s">
        <v>1840</v>
      </c>
      <c r="B134" s="1489"/>
      <c r="C134" s="1939">
        <v>15</v>
      </c>
      <c r="D134" s="1510">
        <f>IF(D133&gt;=0,1,0)</f>
        <v>1</v>
      </c>
      <c r="E134" s="1510">
        <f t="shared" ref="E134:M134" si="12">IF(E133&gt;=0,1,0)</f>
        <v>1</v>
      </c>
      <c r="F134" s="1511">
        <f t="shared" si="12"/>
        <v>1</v>
      </c>
      <c r="G134" s="1510">
        <f t="shared" si="12"/>
        <v>1</v>
      </c>
      <c r="H134" s="1510">
        <f t="shared" si="12"/>
        <v>1</v>
      </c>
      <c r="I134" s="1510">
        <f t="shared" si="12"/>
        <v>1</v>
      </c>
      <c r="J134" s="1511">
        <f t="shared" si="12"/>
        <v>1</v>
      </c>
      <c r="K134" s="1510">
        <f t="shared" si="12"/>
        <v>1</v>
      </c>
      <c r="L134" s="1510">
        <f t="shared" si="12"/>
        <v>1</v>
      </c>
      <c r="M134" s="1511">
        <f t="shared" si="12"/>
        <v>1</v>
      </c>
    </row>
    <row r="135" spans="1:13" s="1557" customFormat="1" ht="13.5" x14ac:dyDescent="0.25">
      <c r="A135" s="1553" t="s">
        <v>1847</v>
      </c>
      <c r="B135" s="1554"/>
      <c r="C135" s="1499">
        <v>15</v>
      </c>
      <c r="D135" s="1555" t="str">
        <f>IF(D134=1,"ü","û")</f>
        <v>ü</v>
      </c>
      <c r="E135" s="1555" t="str">
        <f t="shared" ref="E135:M135" si="13">IF(E134=1,"ü","û")</f>
        <v>ü</v>
      </c>
      <c r="F135" s="1556" t="str">
        <f t="shared" si="13"/>
        <v>ü</v>
      </c>
      <c r="G135" s="1555" t="str">
        <f t="shared" si="13"/>
        <v>ü</v>
      </c>
      <c r="H135" s="1555" t="str">
        <f t="shared" si="13"/>
        <v>ü</v>
      </c>
      <c r="I135" s="1555" t="str">
        <f t="shared" si="13"/>
        <v>ü</v>
      </c>
      <c r="J135" s="1556" t="str">
        <f t="shared" si="13"/>
        <v>ü</v>
      </c>
      <c r="K135" s="1555" t="str">
        <f t="shared" si="13"/>
        <v>ü</v>
      </c>
      <c r="L135" s="1555" t="str">
        <f t="shared" si="13"/>
        <v>ü</v>
      </c>
      <c r="M135" s="1556" t="str">
        <f t="shared" si="13"/>
        <v>ü</v>
      </c>
    </row>
    <row r="136" spans="1:13" ht="13.5" x14ac:dyDescent="0.25">
      <c r="A136" s="1501"/>
      <c r="B136" s="1502"/>
      <c r="C136" s="1503"/>
      <c r="D136" s="1504"/>
      <c r="E136" s="1505"/>
      <c r="F136" s="1506"/>
      <c r="G136" s="1507"/>
      <c r="H136" s="1508"/>
      <c r="I136" s="1508"/>
      <c r="J136" s="1506"/>
      <c r="K136" s="1507"/>
      <c r="L136" s="1508"/>
      <c r="M136" s="1506"/>
    </row>
    <row r="137" spans="1:13" x14ac:dyDescent="0.25">
      <c r="A137" s="1940" t="str">
        <f>head27a</f>
        <v>References</v>
      </c>
    </row>
    <row r="138" spans="1:13" x14ac:dyDescent="0.25">
      <c r="A138" s="338" t="s">
        <v>2125</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18" t="s">
        <v>927</v>
      </c>
      <c r="B1" s="2619"/>
      <c r="C1" s="2619"/>
      <c r="D1" s="2620"/>
    </row>
    <row r="2" spans="1:4" x14ac:dyDescent="0.2">
      <c r="A2" s="2063" t="s">
        <v>707</v>
      </c>
      <c r="B2" s="2064" t="str">
        <f>HLOOKUP(MTREF,Headings,2)</f>
        <v>2014/15</v>
      </c>
      <c r="C2" s="2065" t="s">
        <v>125</v>
      </c>
      <c r="D2" s="2066"/>
    </row>
    <row r="3" spans="1:4" x14ac:dyDescent="0.2">
      <c r="A3" s="2067" t="s">
        <v>383</v>
      </c>
      <c r="B3" s="2068" t="str">
        <f>HLOOKUP(MTREF,Headings,3)</f>
        <v>2013/14</v>
      </c>
      <c r="C3" s="2069" t="s">
        <v>126</v>
      </c>
      <c r="D3" s="2070"/>
    </row>
    <row r="4" spans="1:4" x14ac:dyDescent="0.2">
      <c r="A4" s="2067" t="s">
        <v>760</v>
      </c>
      <c r="B4" s="2068" t="str">
        <f>HLOOKUP(MTREF,Headings,4)</f>
        <v>2012/13</v>
      </c>
      <c r="C4" s="2069" t="s">
        <v>127</v>
      </c>
      <c r="D4" s="2070"/>
    </row>
    <row r="5" spans="1:4" x14ac:dyDescent="0.2">
      <c r="A5" s="2067" t="s">
        <v>1540</v>
      </c>
      <c r="B5" s="2071" t="str">
        <f>HLOOKUP(MTREF,Headings,5)</f>
        <v>Current Year 2015/16</v>
      </c>
      <c r="C5" s="2069" t="s">
        <v>845</v>
      </c>
      <c r="D5" s="2070"/>
    </row>
    <row r="6" spans="1:4" x14ac:dyDescent="0.2">
      <c r="A6" s="2067" t="s">
        <v>735</v>
      </c>
      <c r="B6" s="2068" t="str">
        <f>HLOOKUP(MTREF,Headings,6)</f>
        <v>2015/16</v>
      </c>
      <c r="C6" s="2069" t="s">
        <v>845</v>
      </c>
      <c r="D6" s="2070"/>
    </row>
    <row r="7" spans="1:4" x14ac:dyDescent="0.2">
      <c r="A7" s="2067" t="s">
        <v>1541</v>
      </c>
      <c r="B7" s="2071" t="str">
        <f>HLOOKUP(MTREF,Headings,7)</f>
        <v>2016/17 Medium Term Revenue &amp; Expenditure Framework</v>
      </c>
      <c r="C7" s="2069" t="s">
        <v>846</v>
      </c>
      <c r="D7" s="2070"/>
    </row>
    <row r="8" spans="1:4" x14ac:dyDescent="0.2">
      <c r="A8" s="1331" t="s">
        <v>1542</v>
      </c>
      <c r="B8" s="1332" t="s">
        <v>522</v>
      </c>
      <c r="C8" s="1332" t="s">
        <v>847</v>
      </c>
      <c r="D8" s="1245"/>
    </row>
    <row r="9" spans="1:4" x14ac:dyDescent="0.2">
      <c r="A9" s="1331" t="s">
        <v>1543</v>
      </c>
      <c r="B9" s="1332" t="s">
        <v>1012</v>
      </c>
      <c r="C9" s="1244"/>
      <c r="D9" s="1245"/>
    </row>
    <row r="10" spans="1:4" x14ac:dyDescent="0.2">
      <c r="A10" s="1331" t="s">
        <v>301</v>
      </c>
      <c r="B10" s="1332" t="s">
        <v>302</v>
      </c>
      <c r="C10" s="1244"/>
      <c r="D10" s="1245"/>
    </row>
    <row r="11" spans="1:4" x14ac:dyDescent="0.2">
      <c r="A11" s="1331" t="s">
        <v>629</v>
      </c>
      <c r="B11" s="1332" t="s">
        <v>630</v>
      </c>
      <c r="C11" s="1244"/>
      <c r="D11" s="1245"/>
    </row>
    <row r="12" spans="1:4" x14ac:dyDescent="0.2">
      <c r="A12" s="1331" t="s">
        <v>1544</v>
      </c>
      <c r="B12" s="1332" t="s">
        <v>441</v>
      </c>
      <c r="C12" s="1244"/>
      <c r="D12" s="1245"/>
    </row>
    <row r="13" spans="1:4" x14ac:dyDescent="0.2">
      <c r="A13" s="1331" t="s">
        <v>1545</v>
      </c>
      <c r="B13" s="1332" t="s">
        <v>1704</v>
      </c>
      <c r="C13" s="1244"/>
      <c r="D13" s="1245"/>
    </row>
    <row r="14" spans="1:4" x14ac:dyDescent="0.2">
      <c r="A14" s="1331" t="s">
        <v>1546</v>
      </c>
      <c r="B14" s="1332" t="s">
        <v>1705</v>
      </c>
      <c r="C14" s="1244"/>
      <c r="D14" s="1245"/>
    </row>
    <row r="15" spans="1:4" x14ac:dyDescent="0.2">
      <c r="A15" s="2067" t="s">
        <v>1547</v>
      </c>
      <c r="B15" s="2071" t="str">
        <f>HLOOKUP(MTREF,Headings,8)</f>
        <v>Budget Year 2016/17</v>
      </c>
      <c r="C15" s="2069" t="s">
        <v>848</v>
      </c>
      <c r="D15" s="1333" t="s">
        <v>1613</v>
      </c>
    </row>
    <row r="16" spans="1:4" x14ac:dyDescent="0.2">
      <c r="A16" s="2067" t="s">
        <v>1548</v>
      </c>
      <c r="B16" s="2071" t="str">
        <f>HLOOKUP(MTREF,Headings,9)</f>
        <v>Budget Year +1 2017/18</v>
      </c>
      <c r="C16" s="2069" t="s">
        <v>849</v>
      </c>
      <c r="D16" s="1333" t="s">
        <v>1614</v>
      </c>
    </row>
    <row r="17" spans="1:4" x14ac:dyDescent="0.2">
      <c r="A17" s="2067" t="s">
        <v>1553</v>
      </c>
      <c r="B17" s="2071" t="str">
        <f>HLOOKUP(MTREF,Headings,10)</f>
        <v>Budget Year +2 2018/19</v>
      </c>
      <c r="C17" s="2069" t="s">
        <v>850</v>
      </c>
      <c r="D17" s="1333" t="s">
        <v>1615</v>
      </c>
    </row>
    <row r="18" spans="1:4" x14ac:dyDescent="0.2">
      <c r="A18" s="2067" t="s">
        <v>1555</v>
      </c>
      <c r="B18" s="2071" t="str">
        <f>HLOOKUP(MTREF,Headings,11)</f>
        <v>Forecast 2019/20</v>
      </c>
      <c r="C18" s="2069" t="s">
        <v>1054</v>
      </c>
      <c r="D18" s="1333" t="s">
        <v>1616</v>
      </c>
    </row>
    <row r="19" spans="1:4" x14ac:dyDescent="0.2">
      <c r="A19" s="2067" t="s">
        <v>1556</v>
      </c>
      <c r="B19" s="2071" t="str">
        <f>HLOOKUP(MTREF,Headings,12)</f>
        <v>Forecast 2020/21</v>
      </c>
      <c r="C19" s="2069" t="s">
        <v>1055</v>
      </c>
      <c r="D19" s="1333" t="s">
        <v>1617</v>
      </c>
    </row>
    <row r="20" spans="1:4" x14ac:dyDescent="0.2">
      <c r="A20" s="2067" t="s">
        <v>1557</v>
      </c>
      <c r="B20" s="2071" t="str">
        <f>HLOOKUP(MTREF,Headings,13)</f>
        <v>Forecast 2021/22</v>
      </c>
      <c r="C20" s="2069" t="s">
        <v>1055</v>
      </c>
      <c r="D20" s="1333" t="s">
        <v>1618</v>
      </c>
    </row>
    <row r="21" spans="1:4" x14ac:dyDescent="0.2">
      <c r="A21" s="2067" t="s">
        <v>1558</v>
      </c>
      <c r="B21" s="2071" t="str">
        <f>HLOOKUP(MTREF,Headings,14)</f>
        <v>Forecast 2022/23</v>
      </c>
      <c r="C21" s="2069" t="s">
        <v>1055</v>
      </c>
      <c r="D21" s="1333" t="s">
        <v>1619</v>
      </c>
    </row>
    <row r="22" spans="1:4" x14ac:dyDescent="0.2">
      <c r="A22" s="2067" t="s">
        <v>1559</v>
      </c>
      <c r="B22" s="2071" t="str">
        <f>HLOOKUP(MTREF,Headings,15)</f>
        <v>Forecast 2023/24</v>
      </c>
      <c r="C22" s="2069" t="s">
        <v>1055</v>
      </c>
      <c r="D22" s="1333" t="s">
        <v>1620</v>
      </c>
    </row>
    <row r="23" spans="1:4" x14ac:dyDescent="0.2">
      <c r="A23" s="2067" t="s">
        <v>1560</v>
      </c>
      <c r="B23" s="2071" t="str">
        <f>HLOOKUP(MTREF,Headings,16)</f>
        <v>Forecast 2024/25</v>
      </c>
      <c r="C23" s="2069" t="s">
        <v>1055</v>
      </c>
      <c r="D23" s="1333" t="s">
        <v>1621</v>
      </c>
    </row>
    <row r="24" spans="1:4" x14ac:dyDescent="0.2">
      <c r="A24" s="2067" t="s">
        <v>1561</v>
      </c>
      <c r="B24" s="2071" t="str">
        <f>HLOOKUP(MTREF,Headings,17)</f>
        <v>Forecast 2025/26</v>
      </c>
      <c r="C24" s="2069" t="s">
        <v>1055</v>
      </c>
      <c r="D24" s="1333" t="s">
        <v>613</v>
      </c>
    </row>
    <row r="25" spans="1:4" x14ac:dyDescent="0.2">
      <c r="A25" s="2067" t="s">
        <v>1562</v>
      </c>
      <c r="B25" s="2071" t="str">
        <f>HLOOKUP(MTREF,Headings,18)</f>
        <v>Forecast 2026/27</v>
      </c>
      <c r="C25" s="2069" t="s">
        <v>1055</v>
      </c>
      <c r="D25" s="1333" t="s">
        <v>614</v>
      </c>
    </row>
    <row r="26" spans="1:4" x14ac:dyDescent="0.2">
      <c r="A26" s="2067" t="s">
        <v>1563</v>
      </c>
      <c r="B26" s="2071" t="str">
        <f>HLOOKUP(MTREF,Headings,19)</f>
        <v>Forecast 2027/28</v>
      </c>
      <c r="C26" s="2069" t="s">
        <v>1055</v>
      </c>
      <c r="D26" s="1333" t="s">
        <v>615</v>
      </c>
    </row>
    <row r="27" spans="1:4" x14ac:dyDescent="0.2">
      <c r="A27" s="2067" t="s">
        <v>1564</v>
      </c>
      <c r="B27" s="2071" t="str">
        <f>HLOOKUP(MTREF,Headings,20)</f>
        <v>Forecast 2028/29</v>
      </c>
      <c r="C27" s="2069" t="s">
        <v>1055</v>
      </c>
      <c r="D27" s="1333" t="s">
        <v>616</v>
      </c>
    </row>
    <row r="28" spans="1:4" x14ac:dyDescent="0.2">
      <c r="A28" s="2067" t="s">
        <v>1565</v>
      </c>
      <c r="B28" s="2071" t="str">
        <f>HLOOKUP(MTREF,Headings,21)</f>
        <v>Forecast 2029/30</v>
      </c>
      <c r="C28" s="2069" t="s">
        <v>1055</v>
      </c>
      <c r="D28" s="1333" t="s">
        <v>617</v>
      </c>
    </row>
    <row r="29" spans="1:4" x14ac:dyDescent="0.2">
      <c r="A29" s="2067" t="s">
        <v>1566</v>
      </c>
      <c r="B29" s="2071" t="str">
        <f>HLOOKUP(MTREF,Headings,22)</f>
        <v>Forecast 2030/31</v>
      </c>
      <c r="C29" s="2069" t="s">
        <v>1055</v>
      </c>
      <c r="D29" s="1333" t="s">
        <v>618</v>
      </c>
    </row>
    <row r="30" spans="1:4" x14ac:dyDescent="0.2">
      <c r="A30" s="1331" t="s">
        <v>1035</v>
      </c>
      <c r="B30" s="1332" t="s">
        <v>728</v>
      </c>
      <c r="C30" s="1244"/>
      <c r="D30" s="1246"/>
    </row>
    <row r="31" spans="1:4" x14ac:dyDescent="0.2">
      <c r="A31" s="1331" t="s">
        <v>976</v>
      </c>
      <c r="B31" s="1244"/>
      <c r="C31" s="1244"/>
      <c r="D31" s="1246"/>
    </row>
    <row r="32" spans="1:4" x14ac:dyDescent="0.2">
      <c r="A32" s="1331" t="s">
        <v>761</v>
      </c>
      <c r="B32" s="1332" t="s">
        <v>762</v>
      </c>
      <c r="C32" s="1244"/>
      <c r="D32" s="1246"/>
    </row>
    <row r="33" spans="1:4" x14ac:dyDescent="0.2">
      <c r="A33" s="1331" t="s">
        <v>763</v>
      </c>
      <c r="B33" s="1332" t="s">
        <v>404</v>
      </c>
      <c r="C33" s="1244"/>
      <c r="D33" s="1246"/>
    </row>
    <row r="34" spans="1:4" x14ac:dyDescent="0.2">
      <c r="A34" s="1331" t="s">
        <v>935</v>
      </c>
      <c r="B34" s="1332" t="s">
        <v>936</v>
      </c>
      <c r="C34" s="1244"/>
      <c r="D34" s="1246"/>
    </row>
    <row r="35" spans="1:4" x14ac:dyDescent="0.2">
      <c r="A35" s="1331" t="s">
        <v>876</v>
      </c>
      <c r="B35" s="1332" t="s">
        <v>851</v>
      </c>
      <c r="C35" s="1244"/>
      <c r="D35" s="1333" t="s">
        <v>877</v>
      </c>
    </row>
    <row r="36" spans="1:4" x14ac:dyDescent="0.2">
      <c r="A36" s="2067" t="s">
        <v>1635</v>
      </c>
      <c r="B36" s="2071" t="str">
        <f>HLOOKUP(MTREF,Headings,23)</f>
        <v>Annual target 2016/17</v>
      </c>
      <c r="C36" s="2069"/>
      <c r="D36" s="1246"/>
    </row>
    <row r="37" spans="1:4" x14ac:dyDescent="0.2">
      <c r="A37" s="2067" t="s">
        <v>1636</v>
      </c>
      <c r="B37" s="2071" t="str">
        <f>HLOOKUP(MTREF,Headings,24)</f>
        <v>Revised target 2016/17</v>
      </c>
      <c r="C37" s="2069"/>
      <c r="D37" s="1246"/>
    </row>
    <row r="38" spans="1:4" x14ac:dyDescent="0.2">
      <c r="A38" s="1331" t="s">
        <v>1637</v>
      </c>
      <c r="B38" s="1332" t="s">
        <v>602</v>
      </c>
      <c r="C38" s="1244"/>
      <c r="D38" s="1246"/>
    </row>
    <row r="39" spans="1:4" x14ac:dyDescent="0.2">
      <c r="A39" s="1331" t="s">
        <v>1638</v>
      </c>
      <c r="B39" s="1332" t="s">
        <v>603</v>
      </c>
      <c r="C39" s="1244"/>
      <c r="D39" s="1246"/>
    </row>
    <row r="40" spans="1:4" x14ac:dyDescent="0.2">
      <c r="A40" s="1331" t="s">
        <v>1639</v>
      </c>
      <c r="B40" s="1332" t="s">
        <v>604</v>
      </c>
      <c r="C40" s="1244"/>
      <c r="D40" s="1246"/>
    </row>
    <row r="41" spans="1:4" x14ac:dyDescent="0.2">
      <c r="A41" s="1331" t="s">
        <v>1640</v>
      </c>
      <c r="B41" s="1332" t="s">
        <v>600</v>
      </c>
      <c r="C41" s="1244"/>
      <c r="D41" s="1246"/>
    </row>
    <row r="42" spans="1:4" x14ac:dyDescent="0.2">
      <c r="A42" s="1331" t="s">
        <v>601</v>
      </c>
      <c r="B42" s="1332" t="s">
        <v>1444</v>
      </c>
      <c r="C42" s="1244"/>
      <c r="D42" s="1246"/>
    </row>
    <row r="43" spans="1:4" x14ac:dyDescent="0.2">
      <c r="A43" s="1331" t="s">
        <v>333</v>
      </c>
      <c r="B43" s="1332" t="s">
        <v>730</v>
      </c>
      <c r="C43" s="1244"/>
      <c r="D43" s="1246"/>
    </row>
    <row r="44" spans="1:4" x14ac:dyDescent="0.2">
      <c r="A44" s="1331" t="s">
        <v>334</v>
      </c>
      <c r="B44" s="1332" t="s">
        <v>731</v>
      </c>
      <c r="C44" s="1244"/>
      <c r="D44" s="1246"/>
    </row>
    <row r="45" spans="1:4" x14ac:dyDescent="0.2">
      <c r="A45" s="1331" t="s">
        <v>335</v>
      </c>
      <c r="B45" s="1332" t="s">
        <v>1245</v>
      </c>
      <c r="C45" s="1244"/>
      <c r="D45" s="1246"/>
    </row>
    <row r="46" spans="1:4" x14ac:dyDescent="0.2">
      <c r="A46" s="1331" t="s">
        <v>1244</v>
      </c>
      <c r="B46" s="1332" t="s">
        <v>1295</v>
      </c>
      <c r="C46" s="1244"/>
      <c r="D46" s="1246"/>
    </row>
    <row r="47" spans="1:4" x14ac:dyDescent="0.2">
      <c r="A47" s="1331" t="s">
        <v>1246</v>
      </c>
      <c r="B47" s="1334" t="s">
        <v>98</v>
      </c>
      <c r="C47" s="1244"/>
      <c r="D47" s="1246"/>
    </row>
    <row r="48" spans="1:4" x14ac:dyDescent="0.2">
      <c r="A48" s="1331" t="s">
        <v>1247</v>
      </c>
      <c r="B48" s="1334" t="s">
        <v>100</v>
      </c>
      <c r="C48" s="1244"/>
      <c r="D48" s="1246"/>
    </row>
    <row r="49" spans="1:4" x14ac:dyDescent="0.2">
      <c r="A49" s="1331" t="s">
        <v>1248</v>
      </c>
      <c r="B49" s="1334" t="s">
        <v>1157</v>
      </c>
      <c r="C49" s="1244"/>
      <c r="D49" s="1246"/>
    </row>
    <row r="50" spans="1:4" x14ac:dyDescent="0.2">
      <c r="A50" s="1331" t="s">
        <v>99</v>
      </c>
      <c r="B50" s="1334" t="str">
        <f>Head3&amp;" Summary"</f>
        <v>2016/17 Medium Term Revenue &amp; Expenditure Framework Summary</v>
      </c>
      <c r="C50" s="1244"/>
      <c r="D50" s="1246"/>
    </row>
    <row r="51" spans="1:4" x14ac:dyDescent="0.2">
      <c r="A51" s="1331" t="s">
        <v>606</v>
      </c>
      <c r="B51" s="1334" t="s">
        <v>608</v>
      </c>
      <c r="C51" s="1244"/>
      <c r="D51" s="1246"/>
    </row>
    <row r="52" spans="1:4" x14ac:dyDescent="0.2">
      <c r="A52" s="1331" t="s">
        <v>607</v>
      </c>
      <c r="B52" s="1334" t="s">
        <v>2178</v>
      </c>
      <c r="C52" s="1244"/>
      <c r="D52" s="1246"/>
    </row>
    <row r="53" spans="1:4" x14ac:dyDescent="0.2">
      <c r="A53" s="1331" t="s">
        <v>1464</v>
      </c>
      <c r="B53" s="1335" t="s">
        <v>1465</v>
      </c>
      <c r="C53" s="1248"/>
      <c r="D53" s="1246"/>
    </row>
    <row r="54" spans="1:4" x14ac:dyDescent="0.2">
      <c r="A54" s="1331" t="s">
        <v>930</v>
      </c>
      <c r="B54" s="1334" t="s">
        <v>1575</v>
      </c>
      <c r="C54" s="1244"/>
      <c r="D54" s="1246"/>
    </row>
    <row r="55" spans="1:4" x14ac:dyDescent="0.2">
      <c r="A55" s="1331" t="s">
        <v>375</v>
      </c>
      <c r="B55" s="1334" t="s">
        <v>831</v>
      </c>
      <c r="C55" s="1244"/>
      <c r="D55" s="1246"/>
    </row>
    <row r="56" spans="1:4" x14ac:dyDescent="0.2">
      <c r="A56" s="1331" t="s">
        <v>1302</v>
      </c>
      <c r="B56" s="1247"/>
      <c r="C56" s="1244"/>
      <c r="D56" s="1246"/>
    </row>
    <row r="57" spans="1:4" x14ac:dyDescent="0.2">
      <c r="A57" s="1331" t="s">
        <v>1303</v>
      </c>
      <c r="B57" s="1334" t="s">
        <v>571</v>
      </c>
      <c r="C57" s="1244"/>
      <c r="D57" s="1246"/>
    </row>
    <row r="58" spans="1:4" x14ac:dyDescent="0.2">
      <c r="A58" s="1331" t="s">
        <v>566</v>
      </c>
      <c r="B58" s="1334" t="s">
        <v>570</v>
      </c>
      <c r="C58" s="1244"/>
      <c r="D58" s="1246"/>
    </row>
    <row r="59" spans="1:4" x14ac:dyDescent="0.2">
      <c r="A59" s="1331" t="s">
        <v>567</v>
      </c>
      <c r="B59" s="1334" t="s">
        <v>440</v>
      </c>
      <c r="C59" s="1244"/>
      <c r="D59" s="1246"/>
    </row>
    <row r="60" spans="1:4" x14ac:dyDescent="0.2">
      <c r="A60" s="1331" t="s">
        <v>568</v>
      </c>
      <c r="B60" s="1334" t="s">
        <v>572</v>
      </c>
      <c r="C60" s="1244"/>
      <c r="D60" s="1246"/>
    </row>
    <row r="61" spans="1:4" x14ac:dyDescent="0.2">
      <c r="A61" s="1331" t="s">
        <v>569</v>
      </c>
      <c r="B61" s="1334" t="s">
        <v>446</v>
      </c>
      <c r="C61" s="1244"/>
      <c r="D61" s="1246"/>
    </row>
    <row r="62" spans="1:4" x14ac:dyDescent="0.2">
      <c r="A62" s="1331" t="s">
        <v>1431</v>
      </c>
      <c r="B62" s="1334" t="s">
        <v>439</v>
      </c>
      <c r="C62" s="1244"/>
      <c r="D62" s="1246"/>
    </row>
    <row r="63" spans="1:4" x14ac:dyDescent="0.2">
      <c r="A63" s="1331" t="s">
        <v>1594</v>
      </c>
      <c r="B63" s="1334" t="s">
        <v>1595</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756</v>
      </c>
      <c r="C67" s="1244"/>
      <c r="D67" s="1246"/>
    </row>
    <row r="68" spans="1:4" x14ac:dyDescent="0.2">
      <c r="A68" s="1331" t="s">
        <v>757</v>
      </c>
      <c r="B68" s="1334" t="s">
        <v>885</v>
      </c>
      <c r="C68" s="1244"/>
      <c r="D68" s="1246"/>
    </row>
    <row r="69" spans="1:4" x14ac:dyDescent="0.2">
      <c r="A69" s="1331" t="s">
        <v>758</v>
      </c>
      <c r="B69" s="1334" t="s">
        <v>1209</v>
      </c>
      <c r="C69" s="1244"/>
      <c r="D69" s="1246"/>
    </row>
    <row r="70" spans="1:4" x14ac:dyDescent="0.2">
      <c r="A70" s="1331" t="s">
        <v>1409</v>
      </c>
      <c r="B70" s="1334" t="s">
        <v>1408</v>
      </c>
      <c r="C70" s="1244"/>
      <c r="D70" s="1246"/>
    </row>
    <row r="71" spans="1:4" x14ac:dyDescent="0.2">
      <c r="A71" s="1331" t="s">
        <v>1410</v>
      </c>
      <c r="B71" s="1334" t="s">
        <v>1196</v>
      </c>
      <c r="C71" s="1244"/>
      <c r="D71" s="1333" t="s">
        <v>1644</v>
      </c>
    </row>
    <row r="72" spans="1:4" x14ac:dyDescent="0.2">
      <c r="A72" s="1331" t="s">
        <v>1411</v>
      </c>
      <c r="B72" s="1334" t="s">
        <v>1197</v>
      </c>
      <c r="C72" s="1244"/>
      <c r="D72" s="1333" t="s">
        <v>1645</v>
      </c>
    </row>
    <row r="73" spans="1:4" x14ac:dyDescent="0.2">
      <c r="A73" s="1331" t="s">
        <v>1412</v>
      </c>
      <c r="B73" s="1334" t="s">
        <v>1198</v>
      </c>
      <c r="C73" s="1244"/>
      <c r="D73" s="1333" t="s">
        <v>1646</v>
      </c>
    </row>
    <row r="74" spans="1:4" x14ac:dyDescent="0.2">
      <c r="A74" s="1331" t="s">
        <v>1413</v>
      </c>
      <c r="B74" s="1334" t="s">
        <v>1199</v>
      </c>
      <c r="C74" s="1244"/>
      <c r="D74" s="1333" t="s">
        <v>1647</v>
      </c>
    </row>
    <row r="75" spans="1:4" x14ac:dyDescent="0.2">
      <c r="A75" s="1331" t="s">
        <v>1414</v>
      </c>
      <c r="B75" s="1334" t="s">
        <v>1200</v>
      </c>
      <c r="C75" s="1244"/>
      <c r="D75" s="1333" t="s">
        <v>1648</v>
      </c>
    </row>
    <row r="76" spans="1:4" x14ac:dyDescent="0.2">
      <c r="A76" s="1331" t="s">
        <v>1253</v>
      </c>
      <c r="B76" s="1334" t="s">
        <v>1201</v>
      </c>
      <c r="C76" s="1244"/>
      <c r="D76" s="1333" t="s">
        <v>1649</v>
      </c>
    </row>
    <row r="77" spans="1:4" x14ac:dyDescent="0.2">
      <c r="A77" s="1331" t="s">
        <v>1254</v>
      </c>
      <c r="B77" s="1334" t="s">
        <v>1202</v>
      </c>
      <c r="C77" s="1244"/>
      <c r="D77" s="1333" t="s">
        <v>1650</v>
      </c>
    </row>
    <row r="78" spans="1:4" x14ac:dyDescent="0.2">
      <c r="A78" s="1331" t="s">
        <v>1255</v>
      </c>
      <c r="B78" s="1334" t="s">
        <v>1203</v>
      </c>
      <c r="C78" s="1244"/>
      <c r="D78" s="1333" t="s">
        <v>1651</v>
      </c>
    </row>
    <row r="79" spans="1:4" x14ac:dyDescent="0.2">
      <c r="A79" s="1331" t="s">
        <v>1256</v>
      </c>
      <c r="B79" s="1334" t="s">
        <v>1204</v>
      </c>
      <c r="C79" s="1244"/>
      <c r="D79" s="1333" t="s">
        <v>1652</v>
      </c>
    </row>
    <row r="80" spans="1:4" x14ac:dyDescent="0.2">
      <c r="A80" s="1331" t="s">
        <v>1257</v>
      </c>
      <c r="B80" s="1334" t="s">
        <v>1003</v>
      </c>
      <c r="C80" s="1244"/>
      <c r="D80" s="1333" t="s">
        <v>1263</v>
      </c>
    </row>
    <row r="81" spans="1:4" x14ac:dyDescent="0.2">
      <c r="A81" s="1331" t="s">
        <v>1258</v>
      </c>
      <c r="B81" s="1334" t="s">
        <v>1004</v>
      </c>
      <c r="C81" s="1244"/>
      <c r="D81" s="1333" t="s">
        <v>1264</v>
      </c>
    </row>
    <row r="82" spans="1:4" x14ac:dyDescent="0.2">
      <c r="A82" s="1331" t="s">
        <v>1259</v>
      </c>
      <c r="B82" s="1334" t="s">
        <v>1005</v>
      </c>
      <c r="C82" s="1244"/>
      <c r="D82" s="1333" t="s">
        <v>1265</v>
      </c>
    </row>
    <row r="83" spans="1:4" x14ac:dyDescent="0.2">
      <c r="A83" s="1331" t="s">
        <v>1260</v>
      </c>
      <c r="B83" s="1334" t="s">
        <v>1006</v>
      </c>
      <c r="C83" s="1244"/>
      <c r="D83" s="1333" t="s">
        <v>1266</v>
      </c>
    </row>
    <row r="84" spans="1:4" x14ac:dyDescent="0.2">
      <c r="A84" s="1331" t="s">
        <v>1643</v>
      </c>
      <c r="B84" s="1334" t="s">
        <v>1716</v>
      </c>
      <c r="C84" s="1244"/>
      <c r="D84" s="1333" t="s">
        <v>1267</v>
      </c>
    </row>
    <row r="85" spans="1:4" x14ac:dyDescent="0.2">
      <c r="A85" s="1249"/>
      <c r="B85" s="1250"/>
      <c r="C85" s="1251"/>
      <c r="D85" s="1252"/>
    </row>
    <row r="86" spans="1:4" x14ac:dyDescent="0.2">
      <c r="A86" s="1253"/>
      <c r="B86" s="1251"/>
      <c r="C86" s="1244"/>
      <c r="D86" s="1254"/>
    </row>
    <row r="87" spans="1:4" x14ac:dyDescent="0.2">
      <c r="A87" s="2621" t="s">
        <v>1047</v>
      </c>
      <c r="B87" s="2622"/>
      <c r="C87" s="1255"/>
    </row>
    <row r="88" spans="1:4" x14ac:dyDescent="0.2">
      <c r="A88" s="1336" t="s">
        <v>470</v>
      </c>
      <c r="B88" s="1337" t="s">
        <v>471</v>
      </c>
      <c r="C88" s="1244"/>
    </row>
    <row r="89" spans="1:4" x14ac:dyDescent="0.2">
      <c r="A89" s="1257"/>
      <c r="B89" s="1338" t="s">
        <v>677</v>
      </c>
      <c r="C89" s="1244"/>
    </row>
    <row r="90" spans="1:4" x14ac:dyDescent="0.2">
      <c r="A90" s="1253"/>
      <c r="B90" s="1339" t="s">
        <v>678</v>
      </c>
      <c r="C90" s="1244"/>
    </row>
    <row r="92" spans="1:4" x14ac:dyDescent="0.2">
      <c r="A92" s="2621" t="s">
        <v>409</v>
      </c>
      <c r="B92" s="2627"/>
      <c r="C92" s="2627"/>
      <c r="D92" s="2622"/>
    </row>
    <row r="93" spans="1:4" x14ac:dyDescent="0.2">
      <c r="A93" s="2072" t="s">
        <v>759</v>
      </c>
      <c r="B93" s="2073" t="str">
        <f>'Lookup and lists'!B28</f>
        <v>LIM471 Ephraim Mogale</v>
      </c>
      <c r="C93" s="2074"/>
      <c r="D93" s="1242"/>
    </row>
    <row r="94" spans="1:4" x14ac:dyDescent="0.2">
      <c r="A94" s="2072" t="s">
        <v>839</v>
      </c>
      <c r="B94" s="2075">
        <v>2</v>
      </c>
      <c r="C94" s="2074" t="s">
        <v>840</v>
      </c>
      <c r="D94" s="1340">
        <v>3</v>
      </c>
    </row>
    <row r="95" spans="1:4" x14ac:dyDescent="0.2">
      <c r="A95" s="1341" t="str">
        <f>IF((MuniEntities=1)*(MuniType=2),"YES","NO")</f>
        <v>NO</v>
      </c>
      <c r="B95" s="1038" t="s">
        <v>979</v>
      </c>
      <c r="D95" s="1242"/>
    </row>
    <row r="96" spans="1:4" x14ac:dyDescent="0.2">
      <c r="A96" s="1340" t="s">
        <v>1593</v>
      </c>
      <c r="B96" s="1038" t="s">
        <v>1405</v>
      </c>
      <c r="D96" s="1340" t="s">
        <v>1459</v>
      </c>
    </row>
    <row r="97" spans="1:6" x14ac:dyDescent="0.2">
      <c r="A97" s="1340" t="s">
        <v>1210</v>
      </c>
      <c r="B97" s="1038" t="s">
        <v>1406</v>
      </c>
      <c r="D97" s="1340" t="s">
        <v>1212</v>
      </c>
    </row>
    <row r="98" spans="1:6" x14ac:dyDescent="0.2">
      <c r="A98" s="1340" t="s">
        <v>1211</v>
      </c>
      <c r="B98" s="1038" t="s">
        <v>1407</v>
      </c>
      <c r="D98" s="1340" t="s">
        <v>1213</v>
      </c>
    </row>
    <row r="99" spans="1:6" x14ac:dyDescent="0.2">
      <c r="A99" s="2625" t="s">
        <v>1048</v>
      </c>
      <c r="B99" s="2626"/>
      <c r="C99" s="1342" t="s">
        <v>1300</v>
      </c>
      <c r="D99" s="1343" t="s">
        <v>1299</v>
      </c>
      <c r="E99" s="1342" t="s">
        <v>1273</v>
      </c>
      <c r="F99" s="1343" t="s">
        <v>1273</v>
      </c>
    </row>
    <row r="100" spans="1:6" x14ac:dyDescent="0.2">
      <c r="A100" s="1257"/>
      <c r="B100" s="1344" t="str">
        <f t="shared" ref="B100:B109" si="0">IF(Consolques="YES",E100,F100)</f>
        <v>Table A1 Budget Summary</v>
      </c>
      <c r="C100" s="1256"/>
      <c r="D100" s="1331" t="s">
        <v>1726</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597</v>
      </c>
      <c r="D101" s="1331" t="s">
        <v>1727</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1728</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596</v>
      </c>
      <c r="D103" s="1331" t="s">
        <v>1729</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599</v>
      </c>
      <c r="D104" s="1331" t="s">
        <v>1730</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1731</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1732</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1733</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1734</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1735</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23" t="s">
        <v>1321</v>
      </c>
      <c r="B110" s="2624"/>
      <c r="C110" s="1348" t="str">
        <f>$C$99</f>
        <v>Chart x-ref</v>
      </c>
      <c r="D110" s="1348" t="str">
        <f>$D$99</f>
        <v>Sch/Tab/Ch</v>
      </c>
    </row>
    <row r="111" spans="1:6" x14ac:dyDescent="0.2">
      <c r="A111" s="1349" t="s">
        <v>1322</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1323</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1324</v>
      </c>
      <c r="B113" s="1332" t="str">
        <f>A113&amp;"Supportinging detail to 'Budgeted Financial Position'"</f>
        <v>Supporting Table SA3 Supportinging detail to 'Budgeted Financial Position'</v>
      </c>
      <c r="C113" s="1246"/>
      <c r="D113" s="1246"/>
      <c r="E113" s="1244"/>
      <c r="F113" s="1244"/>
    </row>
    <row r="114" spans="1:6" x14ac:dyDescent="0.2">
      <c r="A114" s="1331" t="s">
        <v>1325</v>
      </c>
      <c r="B114" s="1332" t="str">
        <f>A114&amp;"Reconciliation of IDP strategic objectives and budget (revenue)"</f>
        <v>Supporting Table SA4 Reconciliation of IDP strategic objectives and budget (revenue)</v>
      </c>
      <c r="C114" s="1333" t="s">
        <v>1285</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1286</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1287</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598</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945</v>
      </c>
      <c r="B120" s="1332" t="str">
        <f>A120&amp;" Funding measurement"</f>
        <v>Supporting Table SA10 Funding measurement</v>
      </c>
      <c r="C120" s="1333" t="s">
        <v>1288</v>
      </c>
      <c r="D120" s="1246"/>
      <c r="E120" s="1244"/>
      <c r="F120" s="1244"/>
    </row>
    <row r="121" spans="1:6" x14ac:dyDescent="0.2">
      <c r="A121" s="1331" t="s">
        <v>946</v>
      </c>
      <c r="B121" s="1344" t="str">
        <f>A121&amp;" Property rates summary"</f>
        <v>Supporting Table SA11 Property rates summary</v>
      </c>
      <c r="C121" s="1246"/>
      <c r="D121" s="1246"/>
      <c r="E121" s="1244"/>
      <c r="F121" s="1244"/>
    </row>
    <row r="122" spans="1:6" x14ac:dyDescent="0.2">
      <c r="A122" s="1331" t="s">
        <v>1950</v>
      </c>
      <c r="B122" s="1344" t="str">
        <f>A122&amp;" Property rates by category (current year)"</f>
        <v>Supporting Table SA12a Property rates by category (current year)</v>
      </c>
      <c r="C122" s="1246"/>
      <c r="D122" s="1246"/>
      <c r="E122" s="1244"/>
      <c r="F122" s="1244"/>
    </row>
    <row r="123" spans="1:6" x14ac:dyDescent="0.2">
      <c r="A123" s="1331" t="s">
        <v>1951</v>
      </c>
      <c r="B123" s="1344" t="str">
        <f>A123&amp;" Property rates by category (budget year)"</f>
        <v>Supporting Table SA12b Property rates by category (budget year)</v>
      </c>
      <c r="C123" s="1246"/>
      <c r="D123" s="1246"/>
      <c r="E123" s="1244"/>
      <c r="F123" s="1244"/>
    </row>
    <row r="124" spans="1:6" x14ac:dyDescent="0.2">
      <c r="A124" s="1331" t="s">
        <v>2171</v>
      </c>
      <c r="B124" s="1344" t="str">
        <f>A124&amp;" Service Tariffs by category"</f>
        <v>Supporting Table SA13a Service Tariffs by category</v>
      </c>
      <c r="C124" s="1246"/>
      <c r="D124" s="1246"/>
      <c r="E124" s="1244"/>
      <c r="F124" s="1244"/>
    </row>
    <row r="125" spans="1:6" x14ac:dyDescent="0.2">
      <c r="A125" s="1331" t="s">
        <v>2172</v>
      </c>
      <c r="B125" s="1344" t="str">
        <f>A125&amp;" Service Tariffs by category - explanatory"</f>
        <v>Supporting Table SA13b Service Tariffs by category - explanatory</v>
      </c>
      <c r="C125" s="1246"/>
      <c r="D125" s="1246"/>
      <c r="E125" s="1244"/>
      <c r="F125" s="1244"/>
    </row>
    <row r="126" spans="1:6" x14ac:dyDescent="0.2">
      <c r="A126" s="1331" t="s">
        <v>947</v>
      </c>
      <c r="B126" s="1344" t="str">
        <f>A126&amp;" Household bills"</f>
        <v>Supporting Table SA14 Household bills</v>
      </c>
      <c r="C126" s="1246"/>
      <c r="D126" s="1246"/>
      <c r="E126" s="1244"/>
      <c r="F126" s="1244"/>
    </row>
    <row r="127" spans="1:6" x14ac:dyDescent="0.2">
      <c r="A127" s="1331" t="s">
        <v>948</v>
      </c>
      <c r="B127" s="1332" t="str">
        <f>A127&amp;" Investment particulars by type"</f>
        <v>Supporting Table SA15 Investment particulars by type</v>
      </c>
      <c r="C127" s="1246"/>
      <c r="D127" s="1246"/>
      <c r="E127" s="1244"/>
      <c r="F127" s="1244"/>
    </row>
    <row r="128" spans="1:6" x14ac:dyDescent="0.2">
      <c r="A128" s="1331" t="s">
        <v>949</v>
      </c>
      <c r="B128" s="1332" t="str">
        <f>A128&amp;" Investment particulars by maturity"</f>
        <v>Supporting Table SA16 Investment particulars by maturity</v>
      </c>
      <c r="C128" s="1246"/>
      <c r="D128" s="1246"/>
      <c r="E128" s="1244"/>
      <c r="F128" s="1244"/>
    </row>
    <row r="129" spans="1:6" x14ac:dyDescent="0.2">
      <c r="A129" s="1331" t="s">
        <v>950</v>
      </c>
      <c r="B129" s="1332" t="str">
        <f>A129&amp;" Borrowing"</f>
        <v>Supporting Table SA17 Borrowing</v>
      </c>
      <c r="C129" s="1246"/>
      <c r="D129" s="1260"/>
      <c r="E129" s="1244"/>
      <c r="F129" s="1244"/>
    </row>
    <row r="130" spans="1:6" x14ac:dyDescent="0.2">
      <c r="A130" s="1331" t="s">
        <v>951</v>
      </c>
      <c r="B130" s="1332" t="str">
        <f>A130&amp;" Transfers and grant receipts"</f>
        <v>Supporting Table SA18 Transfers and grant receipts</v>
      </c>
      <c r="C130" s="1246"/>
      <c r="D130" s="1246"/>
      <c r="E130" s="1244"/>
      <c r="F130" s="1244"/>
    </row>
    <row r="131" spans="1:6" x14ac:dyDescent="0.2">
      <c r="A131" s="1331" t="s">
        <v>952</v>
      </c>
      <c r="B131" s="1332" t="str">
        <f>A131&amp;" Expenditure on transfers and grant programme"</f>
        <v>Supporting Table SA19 Expenditure on transfers and grant programme</v>
      </c>
      <c r="C131" s="1246"/>
      <c r="D131" s="1246"/>
      <c r="E131" s="1244"/>
      <c r="F131" s="1244"/>
    </row>
    <row r="132" spans="1:6" x14ac:dyDescent="0.2">
      <c r="A132" s="1331" t="s">
        <v>953</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954</v>
      </c>
      <c r="B133" s="1332" t="str">
        <f>A133&amp;" Transfers and grants made by the municipality"</f>
        <v>Supporting Table SA21 Transfers and grants made by the municipality</v>
      </c>
      <c r="C133" s="1246"/>
      <c r="D133" s="1246"/>
      <c r="E133" s="1244"/>
      <c r="F133" s="1244"/>
    </row>
    <row r="134" spans="1:6" x14ac:dyDescent="0.2">
      <c r="A134" s="1331" t="s">
        <v>955</v>
      </c>
      <c r="B134" s="1332" t="str">
        <f>A134&amp;" Summary councillor and staff benefits"</f>
        <v>Supporting Table SA22 Summary councillor and staff benefits</v>
      </c>
      <c r="C134" s="1246"/>
      <c r="D134" s="1260"/>
      <c r="E134" s="1244"/>
      <c r="F134" s="1244"/>
    </row>
    <row r="135" spans="1:6" x14ac:dyDescent="0.2">
      <c r="A135" s="1331" t="s">
        <v>956</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957</v>
      </c>
      <c r="B136" s="1332" t="str">
        <f>A136&amp;" Summary of personnel numbers"</f>
        <v>Supporting Table SA24 Summary of personnel numbers</v>
      </c>
      <c r="C136" s="1246"/>
      <c r="D136" s="1246"/>
      <c r="E136" s="1244"/>
      <c r="F136" s="1244"/>
    </row>
    <row r="137" spans="1:6" x14ac:dyDescent="0.2">
      <c r="A137" s="1331" t="s">
        <v>958</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959</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960</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961</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962</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963</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964</v>
      </c>
      <c r="B143" s="1332" t="str">
        <f t="shared" si="1"/>
        <v>NOT REQUIRED - municipality does not have entities</v>
      </c>
      <c r="C143" s="1246"/>
      <c r="D143" s="1246"/>
      <c r="E143" s="1332" t="str">
        <f>A143&amp;" Aggregated entity budget"</f>
        <v>Supporting Table SA31 Aggregated entity budget</v>
      </c>
      <c r="F143" s="1332" t="s">
        <v>980</v>
      </c>
    </row>
    <row r="144" spans="1:6" x14ac:dyDescent="0.2">
      <c r="A144" s="1331" t="s">
        <v>965</v>
      </c>
      <c r="B144" s="1332" t="str">
        <f>A144&amp;" List of external mechanisms"</f>
        <v>Supporting Table SA32 List of external mechanisms</v>
      </c>
      <c r="C144" s="1246"/>
      <c r="D144" s="1246"/>
      <c r="E144" s="1244"/>
      <c r="F144" s="1244"/>
    </row>
    <row r="145" spans="1:6" x14ac:dyDescent="0.2">
      <c r="A145" s="1331" t="s">
        <v>966</v>
      </c>
      <c r="B145" s="1332" t="str">
        <f>A145&amp;" Contracts having future budgetary implications"</f>
        <v>Supporting Table SA33 Contracts having future budgetary implications</v>
      </c>
      <c r="C145" s="1246"/>
      <c r="D145" s="1246"/>
      <c r="E145" s="1244"/>
      <c r="F145" s="1244"/>
    </row>
    <row r="146" spans="1:6" x14ac:dyDescent="0.2">
      <c r="A146" s="1331" t="s">
        <v>1587</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1588</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1589</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1947</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967</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968</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969</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1024</v>
      </c>
      <c r="B154" s="1352" t="s">
        <v>1301</v>
      </c>
      <c r="C154" s="1353" t="s">
        <v>1050</v>
      </c>
      <c r="D154" s="1249"/>
    </row>
    <row r="155" spans="1:6" x14ac:dyDescent="0.2">
      <c r="A155" s="1354" t="s">
        <v>1736</v>
      </c>
      <c r="B155" s="1355" t="str">
        <f>A155&amp;"Revenue by Municipal Vote"</f>
        <v>Chart A1 Revenue by Municipal Vote</v>
      </c>
      <c r="C155" s="1259"/>
      <c r="D155" s="1261"/>
    </row>
    <row r="156" spans="1:6" x14ac:dyDescent="0.2">
      <c r="A156" s="1354" t="s">
        <v>1737</v>
      </c>
      <c r="B156" s="1356" t="str">
        <f>A156&amp;"Expenditure by Municipal Vote"</f>
        <v>Chart A2 Expenditure by Municipal Vote</v>
      </c>
      <c r="C156" s="1246"/>
      <c r="D156" s="1254"/>
    </row>
    <row r="157" spans="1:6" x14ac:dyDescent="0.2">
      <c r="A157" s="1354" t="s">
        <v>1738</v>
      </c>
      <c r="B157" s="1356" t="str">
        <f>A157&amp;"Revenue by Standard Classification"</f>
        <v>Chart A3 Revenue by Standard Classification</v>
      </c>
      <c r="C157" s="1333" t="s">
        <v>1049</v>
      </c>
      <c r="D157" s="1244"/>
    </row>
    <row r="158" spans="1:6" x14ac:dyDescent="0.2">
      <c r="A158" s="1354" t="s">
        <v>1739</v>
      </c>
      <c r="B158" s="1356" t="str">
        <f>A158&amp;"Expenditure by Standard Classification"</f>
        <v>Chart A4 Expenditure by Standard Classification</v>
      </c>
      <c r="C158" s="1333" t="s">
        <v>1049</v>
      </c>
      <c r="D158" s="1244"/>
    </row>
    <row r="159" spans="1:6" x14ac:dyDescent="0.2">
      <c r="A159" s="1354" t="s">
        <v>1740</v>
      </c>
      <c r="B159" s="1356" t="str">
        <f>A159&amp;"Revenue by Major Source (refer 'Minor' source for 'Other Revenue' allocation"</f>
        <v>Chart A5 Revenue by Major Source (refer 'Minor' source for 'Other Revenue' allocation</v>
      </c>
      <c r="C159" s="1333" t="s">
        <v>1051</v>
      </c>
      <c r="D159" s="1244"/>
    </row>
    <row r="160" spans="1:6" x14ac:dyDescent="0.2">
      <c r="A160" s="1354" t="s">
        <v>1741</v>
      </c>
      <c r="B160" s="1356" t="str">
        <f>A160&amp;"Revenue by Minor Source (Other)"</f>
        <v>Chart A6 Revenue by Minor Source (Other)</v>
      </c>
      <c r="C160" s="1333" t="s">
        <v>1051</v>
      </c>
      <c r="D160" s="1244"/>
    </row>
    <row r="161" spans="1:4" x14ac:dyDescent="0.2">
      <c r="A161" s="1354" t="s">
        <v>1742</v>
      </c>
      <c r="B161" s="1356" t="str">
        <f>A161&amp;"Expenditure by Major Type"</f>
        <v>Chart A7 Expenditure by Major Type</v>
      </c>
      <c r="C161" s="1333" t="s">
        <v>1051</v>
      </c>
      <c r="D161" s="1244"/>
    </row>
    <row r="162" spans="1:4" x14ac:dyDescent="0.2">
      <c r="A162" s="1354" t="s">
        <v>1743</v>
      </c>
      <c r="B162" s="1356" t="str">
        <f>A162&amp;"Expenditure by Minor Type (Other)"</f>
        <v>Chart A8 Expenditure by Minor Type (Other)</v>
      </c>
      <c r="C162" s="1333" t="s">
        <v>1051</v>
      </c>
      <c r="D162" s="1244"/>
    </row>
    <row r="163" spans="1:4" x14ac:dyDescent="0.2">
      <c r="A163" s="1354" t="s">
        <v>1744</v>
      </c>
      <c r="B163" s="1356" t="str">
        <f>A163&amp;"Capital Expenditure by Municipal Vote/Appropriation (Major)"</f>
        <v>Chart A9 Capital Expenditure by Municipal Vote/Appropriation (Major)</v>
      </c>
      <c r="C163" s="1333" t="s">
        <v>1052</v>
      </c>
      <c r="D163" s="1244"/>
    </row>
    <row r="164" spans="1:4" x14ac:dyDescent="0.2">
      <c r="A164" s="1354" t="s">
        <v>1745</v>
      </c>
      <c r="B164" s="1356" t="str">
        <f>A164&amp;"Capital Expenditure by Municipal Vote/Appropriation (Minor)"</f>
        <v>Chart A10 Capital Expenditure by Municipal Vote/Appropriation (Minor)</v>
      </c>
      <c r="C164" s="1333" t="s">
        <v>1052</v>
      </c>
      <c r="D164" s="1244"/>
    </row>
    <row r="165" spans="1:4" x14ac:dyDescent="0.2">
      <c r="A165" s="1354" t="s">
        <v>1746</v>
      </c>
      <c r="B165" s="1356" t="str">
        <f>A164&amp;"Capital Expenditure by Standard Classification"</f>
        <v>Chart A10 Capital Expenditure by Standard Classification</v>
      </c>
      <c r="C165" s="1333" t="s">
        <v>1052</v>
      </c>
      <c r="D165" s="1244"/>
    </row>
    <row r="166" spans="1:4" x14ac:dyDescent="0.2">
      <c r="A166" s="1354" t="s">
        <v>1747</v>
      </c>
      <c r="B166" s="1356" t="str">
        <f>A166&amp;"Capital expenditure performance trend"</f>
        <v>Chart A12 Capital expenditure performance trend</v>
      </c>
      <c r="C166" s="1333" t="s">
        <v>1052</v>
      </c>
      <c r="D166" s="1244"/>
    </row>
    <row r="167" spans="1:4" x14ac:dyDescent="0.2">
      <c r="A167" s="1354" t="s">
        <v>1748</v>
      </c>
      <c r="B167" s="1356" t="str">
        <f>A167&amp;"Capital funding by Source"</f>
        <v>Chart A13 Capital funding by Source</v>
      </c>
      <c r="C167" s="1333" t="s">
        <v>1052</v>
      </c>
      <c r="D167" s="1244"/>
    </row>
    <row r="168" spans="1:4" x14ac:dyDescent="0.2">
      <c r="A168" s="1354" t="s">
        <v>1749</v>
      </c>
      <c r="B168" s="1356" t="str">
        <f>A168&amp;"Cash flow trend"</f>
        <v>Chart A14 Cash flow trend</v>
      </c>
      <c r="C168" s="1333" t="s">
        <v>1053</v>
      </c>
      <c r="D168" s="1244"/>
    </row>
    <row r="169" spans="1:4" x14ac:dyDescent="0.2">
      <c r="A169" s="1354" t="s">
        <v>1750</v>
      </c>
      <c r="B169" s="1356" t="str">
        <f>A169&amp;"IDP Strategic Objective - Revenue"</f>
        <v>Chart A15 IDP Strategic Objective - Revenue</v>
      </c>
      <c r="C169" s="1333" t="s">
        <v>297</v>
      </c>
      <c r="D169" s="1244"/>
    </row>
    <row r="170" spans="1:4" x14ac:dyDescent="0.2">
      <c r="A170" s="1354" t="s">
        <v>1751</v>
      </c>
      <c r="B170" s="1356" t="str">
        <f>A170&amp;"IDP Strategic Objective - Expenditure"</f>
        <v>Chart A16 IDP Strategic Objective - Expenditure</v>
      </c>
      <c r="C170" s="1333" t="s">
        <v>298</v>
      </c>
      <c r="D170" s="1244"/>
    </row>
    <row r="171" spans="1:4" x14ac:dyDescent="0.2">
      <c r="A171" s="1354" t="s">
        <v>1752</v>
      </c>
      <c r="B171" s="1356" t="str">
        <f>A171&amp;"IDP Strategic Objective - Capital Expenditure"</f>
        <v>Chart A17 IDP Strategic Objective - Capital Expenditure</v>
      </c>
      <c r="C171" s="1333" t="s">
        <v>299</v>
      </c>
    </row>
    <row r="172" spans="1:4" x14ac:dyDescent="0.2">
      <c r="A172" s="1354" t="s">
        <v>1753</v>
      </c>
      <c r="B172" s="1356" t="str">
        <f>A172&amp;"Debt (borrowing to Total Revenue)"</f>
        <v>Chart A18 Debt (borrowing to Total Revenue)</v>
      </c>
      <c r="C172" s="1333" t="s">
        <v>300</v>
      </c>
    </row>
    <row r="173" spans="1:4" x14ac:dyDescent="0.2">
      <c r="A173" s="1354" t="s">
        <v>1754</v>
      </c>
      <c r="B173" s="1356" t="str">
        <f>A173&amp;"Debtors' trend analysis"</f>
        <v>Chart A19 Debtors' trend analysis</v>
      </c>
      <c r="C173" s="1333" t="s">
        <v>300</v>
      </c>
    </row>
    <row r="174" spans="1:4" x14ac:dyDescent="0.2">
      <c r="A174" s="1354" t="s">
        <v>1755</v>
      </c>
      <c r="B174" s="1356" t="str">
        <f>A174&amp;"Distribution losses"</f>
        <v>Chart A20 Distribution losses</v>
      </c>
      <c r="C174" s="1333" t="s">
        <v>300</v>
      </c>
    </row>
    <row r="175" spans="1:4" x14ac:dyDescent="0.2">
      <c r="A175" s="1354" t="s">
        <v>1756</v>
      </c>
      <c r="B175" s="1356" t="str">
        <f>A175&amp;"Borrowed funding of capital expenditure"</f>
        <v>Chart A21 Borrowed funding of capital expenditure</v>
      </c>
      <c r="C175" s="1333" t="s">
        <v>300</v>
      </c>
    </row>
    <row r="176" spans="1:4" x14ac:dyDescent="0.2">
      <c r="A176" s="1354" t="s">
        <v>1757</v>
      </c>
      <c r="B176" s="1356" t="str">
        <f>A176&amp;"Expenditure analysis (% of Revenue)"</f>
        <v>Chart A22 Expenditure analysis (% of Revenue)</v>
      </c>
      <c r="C176" s="1333" t="s">
        <v>300</v>
      </c>
    </row>
    <row r="177" spans="1:5" x14ac:dyDescent="0.2">
      <c r="A177" s="1347" t="s">
        <v>1758</v>
      </c>
      <c r="B177" s="1357" t="str">
        <f>A177&amp;"Increases in service charges"</f>
        <v>Chart A23 Increases in service charges</v>
      </c>
      <c r="C177" s="1358" t="s">
        <v>595</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77" activePane="bottomRight" state="frozen"/>
      <selection pane="topRight"/>
      <selection pane="bottomLeft"/>
      <selection pane="bottomRight" activeCell="E22" sqref="E2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LIM471 Ephraim Mogale - Supporting Table SA11 Property rates summary</v>
      </c>
      <c r="B1" s="25"/>
      <c r="C1" s="25"/>
      <c r="D1" s="25"/>
      <c r="E1" s="25"/>
      <c r="F1" s="25"/>
      <c r="G1" s="25"/>
      <c r="H1" s="25"/>
      <c r="I1" s="25"/>
      <c r="J1" s="25"/>
      <c r="K1" s="25"/>
    </row>
    <row r="2" spans="1:11" ht="28.5" customHeight="1" x14ac:dyDescent="0.25">
      <c r="A2" s="2710" t="str">
        <f>desc</f>
        <v>Description</v>
      </c>
      <c r="B2" s="2682" t="str">
        <f>head27</f>
        <v>Ref</v>
      </c>
      <c r="C2" s="23"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2711"/>
      <c r="B3" s="268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688"/>
      <c r="C4" s="35"/>
      <c r="D4" s="16"/>
      <c r="E4" s="34"/>
      <c r="F4" s="33"/>
      <c r="G4" s="16"/>
      <c r="H4" s="34"/>
      <c r="I4" s="33"/>
      <c r="J4" s="16"/>
      <c r="K4" s="34"/>
    </row>
    <row r="5" spans="1:11" ht="11.25" customHeight="1" x14ac:dyDescent="0.25">
      <c r="A5" s="59" t="s">
        <v>712</v>
      </c>
      <c r="B5" s="470">
        <v>1</v>
      </c>
      <c r="C5" s="471"/>
      <c r="D5" s="471"/>
      <c r="E5" s="100"/>
      <c r="F5" s="472"/>
      <c r="G5" s="1520"/>
      <c r="H5" s="1521"/>
      <c r="I5" s="1522"/>
      <c r="J5" s="1520"/>
      <c r="K5" s="1523"/>
    </row>
    <row r="6" spans="1:11" ht="11.25" customHeight="1" x14ac:dyDescent="0.25">
      <c r="A6" s="68" t="s">
        <v>711</v>
      </c>
      <c r="B6" s="434"/>
      <c r="C6" s="2335">
        <v>41091</v>
      </c>
      <c r="D6" s="2335"/>
      <c r="E6" s="2336"/>
      <c r="F6" s="2337"/>
      <c r="G6" s="1524"/>
      <c r="H6" s="1525"/>
      <c r="I6" s="1526"/>
      <c r="J6" s="1524"/>
      <c r="K6" s="1527"/>
    </row>
    <row r="7" spans="1:11" ht="11.25" customHeight="1" x14ac:dyDescent="0.25">
      <c r="A7" s="68" t="s">
        <v>619</v>
      </c>
      <c r="B7" s="434"/>
      <c r="C7" s="2338"/>
      <c r="D7" s="2615">
        <v>41456</v>
      </c>
      <c r="E7" s="2339"/>
      <c r="F7" s="2340"/>
      <c r="G7" s="1528"/>
      <c r="H7" s="1529"/>
      <c r="I7" s="2324"/>
      <c r="J7" s="1532"/>
      <c r="K7" s="1533"/>
    </row>
    <row r="8" spans="1:11" ht="11.25" customHeight="1" x14ac:dyDescent="0.25">
      <c r="A8" s="68" t="s">
        <v>387</v>
      </c>
      <c r="B8" s="474" t="s">
        <v>734</v>
      </c>
      <c r="C8" s="2326" t="s">
        <v>781</v>
      </c>
      <c r="D8" s="2326" t="s">
        <v>781</v>
      </c>
      <c r="E8" s="2328" t="s">
        <v>781</v>
      </c>
      <c r="F8" s="2341" t="s">
        <v>403</v>
      </c>
      <c r="G8" s="1530"/>
      <c r="H8" s="1531"/>
      <c r="I8" s="2325" t="s">
        <v>403</v>
      </c>
      <c r="J8" s="1532"/>
      <c r="K8" s="1533"/>
    </row>
    <row r="9" spans="1:11" ht="11.25" customHeight="1" x14ac:dyDescent="0.25">
      <c r="A9" s="68" t="s">
        <v>1215</v>
      </c>
      <c r="B9" s="434"/>
      <c r="C9" s="2326" t="s">
        <v>403</v>
      </c>
      <c r="D9" s="2326" t="s">
        <v>403</v>
      </c>
      <c r="E9" s="2328" t="s">
        <v>403</v>
      </c>
      <c r="F9" s="2341" t="s">
        <v>403</v>
      </c>
      <c r="G9" s="1514"/>
      <c r="H9" s="1515"/>
      <c r="I9" s="2325" t="s">
        <v>403</v>
      </c>
      <c r="J9" s="1516"/>
      <c r="K9" s="1517"/>
    </row>
    <row r="10" spans="1:11" ht="11.25" customHeight="1" x14ac:dyDescent="0.25">
      <c r="A10" s="68" t="s">
        <v>713</v>
      </c>
      <c r="B10" s="434"/>
      <c r="C10" s="2326" t="s">
        <v>781</v>
      </c>
      <c r="D10" s="2326" t="s">
        <v>781</v>
      </c>
      <c r="E10" s="2326" t="s">
        <v>781</v>
      </c>
      <c r="F10" s="2341" t="s">
        <v>403</v>
      </c>
      <c r="G10" s="2341" t="s">
        <v>403</v>
      </c>
      <c r="H10" s="2341" t="s">
        <v>403</v>
      </c>
      <c r="I10" s="2341" t="s">
        <v>403</v>
      </c>
      <c r="J10" s="2341" t="s">
        <v>403</v>
      </c>
      <c r="K10" s="2341" t="s">
        <v>403</v>
      </c>
    </row>
    <row r="11" spans="1:11" ht="11.25" customHeight="1" x14ac:dyDescent="0.25">
      <c r="A11" s="68" t="s">
        <v>1216</v>
      </c>
      <c r="B11" s="474">
        <v>3</v>
      </c>
      <c r="C11" s="2329"/>
      <c r="D11" s="2342"/>
      <c r="E11" s="2343"/>
      <c r="F11" s="2344"/>
      <c r="G11" s="2344"/>
      <c r="H11" s="2344"/>
      <c r="I11" s="2330"/>
      <c r="J11" s="2329"/>
      <c r="K11" s="2331"/>
    </row>
    <row r="12" spans="1:11" ht="11.25" customHeight="1" x14ac:dyDescent="0.25">
      <c r="A12" s="203" t="s">
        <v>1217</v>
      </c>
      <c r="B12" s="442">
        <v>3</v>
      </c>
      <c r="C12" s="2332">
        <v>1</v>
      </c>
      <c r="D12" s="2345">
        <v>1</v>
      </c>
      <c r="E12" s="2345">
        <v>1</v>
      </c>
      <c r="F12" s="2345">
        <v>1</v>
      </c>
      <c r="G12" s="2345">
        <v>1</v>
      </c>
      <c r="H12" s="2345">
        <v>1</v>
      </c>
      <c r="I12" s="2345">
        <v>1</v>
      </c>
      <c r="J12" s="2345">
        <v>1</v>
      </c>
      <c r="K12" s="2345">
        <v>1</v>
      </c>
    </row>
    <row r="13" spans="1:11" ht="11.25" customHeight="1" x14ac:dyDescent="0.25">
      <c r="A13" s="203" t="s">
        <v>1218</v>
      </c>
      <c r="B13" s="442">
        <v>3</v>
      </c>
      <c r="C13" s="2332"/>
      <c r="D13" s="2345"/>
      <c r="E13" s="2346"/>
      <c r="F13" s="2344"/>
      <c r="G13" s="2332"/>
      <c r="H13" s="2333"/>
      <c r="I13" s="2330"/>
      <c r="J13" s="2332"/>
      <c r="K13" s="2334"/>
    </row>
    <row r="14" spans="1:11" ht="11.25" customHeight="1" x14ac:dyDescent="0.25">
      <c r="A14" s="203" t="s">
        <v>1219</v>
      </c>
      <c r="B14" s="442">
        <v>3</v>
      </c>
      <c r="C14" s="2332">
        <v>1</v>
      </c>
      <c r="D14" s="2345">
        <v>1</v>
      </c>
      <c r="E14" s="2346">
        <v>1</v>
      </c>
      <c r="F14" s="2344">
        <v>1</v>
      </c>
      <c r="G14" s="2344">
        <v>1</v>
      </c>
      <c r="H14" s="2344">
        <v>1</v>
      </c>
      <c r="I14" s="2330">
        <v>1</v>
      </c>
      <c r="J14" s="2329">
        <v>1</v>
      </c>
      <c r="K14" s="2331">
        <v>1</v>
      </c>
    </row>
    <row r="15" spans="1:11" ht="11.25" customHeight="1" x14ac:dyDescent="0.25">
      <c r="A15" s="203" t="s">
        <v>1515</v>
      </c>
      <c r="B15" s="475">
        <v>4</v>
      </c>
      <c r="C15" s="2332"/>
      <c r="D15" s="2345"/>
      <c r="E15" s="2346"/>
      <c r="F15" s="2344"/>
      <c r="G15" s="2332"/>
      <c r="H15" s="2333"/>
      <c r="I15" s="2330"/>
      <c r="J15" s="2332"/>
      <c r="K15" s="2334"/>
    </row>
    <row r="16" spans="1:11" ht="11.25" customHeight="1" x14ac:dyDescent="0.25">
      <c r="A16" s="68" t="s">
        <v>620</v>
      </c>
      <c r="B16" s="434"/>
      <c r="C16" s="2326"/>
      <c r="D16" s="2326"/>
      <c r="E16" s="2328"/>
      <c r="F16" s="2341"/>
      <c r="G16" s="1514"/>
      <c r="H16" s="1515"/>
      <c r="I16" s="2325"/>
      <c r="J16" s="1516"/>
      <c r="K16" s="1517"/>
    </row>
    <row r="17" spans="1:11" ht="11.25" customHeight="1" x14ac:dyDescent="0.25">
      <c r="A17" s="68" t="s">
        <v>385</v>
      </c>
      <c r="B17" s="434"/>
      <c r="C17" s="2332">
        <v>60</v>
      </c>
      <c r="D17" s="2345">
        <v>48</v>
      </c>
      <c r="E17" s="2346">
        <v>36</v>
      </c>
      <c r="F17" s="2344">
        <v>24</v>
      </c>
      <c r="G17" s="1514"/>
      <c r="H17" s="1515"/>
      <c r="I17" s="2330">
        <v>12</v>
      </c>
      <c r="J17" s="1518"/>
      <c r="K17" s="1519"/>
    </row>
    <row r="18" spans="1:11" ht="11.25" customHeight="1" x14ac:dyDescent="0.25">
      <c r="A18" s="68" t="s">
        <v>388</v>
      </c>
      <c r="B18" s="474">
        <v>5</v>
      </c>
      <c r="C18" s="2345"/>
      <c r="D18" s="2345"/>
      <c r="E18" s="2346"/>
      <c r="F18" s="2344">
        <v>11715</v>
      </c>
      <c r="G18" s="2344">
        <v>11715</v>
      </c>
      <c r="H18" s="2344">
        <v>11715</v>
      </c>
      <c r="I18" s="2344">
        <v>11715</v>
      </c>
      <c r="J18" s="2344">
        <v>11715</v>
      </c>
      <c r="K18" s="2344">
        <v>11715</v>
      </c>
    </row>
    <row r="19" spans="1:11" ht="11.25" customHeight="1" x14ac:dyDescent="0.25">
      <c r="A19" s="68" t="s">
        <v>389</v>
      </c>
      <c r="B19" s="474">
        <v>5</v>
      </c>
      <c r="C19" s="2345"/>
      <c r="D19" s="2345"/>
      <c r="E19" s="2346"/>
      <c r="F19" s="2344"/>
      <c r="G19" s="2345"/>
      <c r="H19" s="2350"/>
      <c r="I19" s="2330"/>
      <c r="J19" s="2332"/>
      <c r="K19" s="2334"/>
    </row>
    <row r="20" spans="1:11" ht="11.25" customHeight="1" x14ac:dyDescent="0.25">
      <c r="A20" s="68" t="s">
        <v>390</v>
      </c>
      <c r="B20" s="474"/>
      <c r="C20" s="2345"/>
      <c r="D20" s="2345"/>
      <c r="E20" s="2346"/>
      <c r="F20" s="2344"/>
      <c r="G20" s="2345"/>
      <c r="H20" s="2350"/>
      <c r="I20" s="2330"/>
      <c r="J20" s="2332"/>
      <c r="K20" s="2334"/>
    </row>
    <row r="21" spans="1:11" ht="11.25" customHeight="1" x14ac:dyDescent="0.25">
      <c r="A21" s="68" t="s">
        <v>703</v>
      </c>
      <c r="B21" s="434"/>
      <c r="C21" s="2332"/>
      <c r="D21" s="2345"/>
      <c r="E21" s="2346">
        <v>1</v>
      </c>
      <c r="F21" s="2344">
        <v>1</v>
      </c>
      <c r="G21" s="2345">
        <v>1</v>
      </c>
      <c r="H21" s="2350">
        <v>1</v>
      </c>
      <c r="I21" s="2330">
        <v>1</v>
      </c>
      <c r="J21" s="2330">
        <v>1</v>
      </c>
      <c r="K21" s="2330">
        <v>1</v>
      </c>
    </row>
    <row r="22" spans="1:11" ht="11.25" customHeight="1" x14ac:dyDescent="0.25">
      <c r="A22" s="68" t="s">
        <v>704</v>
      </c>
      <c r="B22" s="434"/>
      <c r="C22" s="2332"/>
      <c r="D22" s="2345"/>
      <c r="E22" s="2346"/>
      <c r="F22" s="2344"/>
      <c r="G22" s="2332"/>
      <c r="H22" s="2333"/>
      <c r="I22" s="2330"/>
      <c r="J22" s="2332"/>
      <c r="K22" s="2334"/>
    </row>
    <row r="23" spans="1:11" ht="11.25" customHeight="1" x14ac:dyDescent="0.25">
      <c r="A23" s="68" t="s">
        <v>353</v>
      </c>
      <c r="B23" s="434"/>
      <c r="C23" s="2332"/>
      <c r="D23" s="2345"/>
      <c r="E23" s="2346"/>
      <c r="F23" s="2344"/>
      <c r="G23" s="2332"/>
      <c r="H23" s="2333"/>
      <c r="I23" s="2330"/>
      <c r="J23" s="2332"/>
      <c r="K23" s="2334"/>
    </row>
    <row r="24" spans="1:11" ht="11.25" customHeight="1" x14ac:dyDescent="0.25">
      <c r="A24" s="68" t="s">
        <v>354</v>
      </c>
      <c r="B24" s="434"/>
      <c r="C24" s="2332"/>
      <c r="D24" s="2345"/>
      <c r="E24" s="2346"/>
      <c r="F24" s="2344"/>
      <c r="G24" s="2332"/>
      <c r="H24" s="2333"/>
      <c r="I24" s="2330"/>
      <c r="J24" s="2332"/>
      <c r="K24" s="2334"/>
    </row>
    <row r="25" spans="1:11" ht="11.25" customHeight="1" x14ac:dyDescent="0.25">
      <c r="A25" s="68" t="s">
        <v>714</v>
      </c>
      <c r="B25" s="434">
        <v>8</v>
      </c>
      <c r="C25" s="2332"/>
      <c r="D25" s="2345"/>
      <c r="E25" s="2346"/>
      <c r="F25" s="2344"/>
      <c r="G25" s="2332"/>
      <c r="H25" s="2333"/>
      <c r="I25" s="2330"/>
      <c r="J25" s="2332"/>
      <c r="K25" s="2334"/>
    </row>
    <row r="26" spans="1:11" ht="11.25" customHeight="1" x14ac:dyDescent="0.25">
      <c r="A26" s="68" t="s">
        <v>702</v>
      </c>
      <c r="B26" s="434">
        <v>8</v>
      </c>
      <c r="C26" s="2332"/>
      <c r="D26" s="2345"/>
      <c r="E26" s="2346"/>
      <c r="F26" s="2344"/>
      <c r="G26" s="2332"/>
      <c r="H26" s="2333"/>
      <c r="I26" s="2330"/>
      <c r="J26" s="2332"/>
      <c r="K26" s="2334"/>
    </row>
    <row r="27" spans="1:11" ht="11.25" customHeight="1" x14ac:dyDescent="0.25">
      <c r="A27" s="68" t="s">
        <v>1469</v>
      </c>
      <c r="B27" s="434"/>
      <c r="C27" s="2345"/>
      <c r="D27" s="2345"/>
      <c r="E27" s="2346"/>
      <c r="F27" s="2344"/>
      <c r="G27" s="2345"/>
      <c r="H27" s="2350"/>
      <c r="I27" s="2330"/>
      <c r="J27" s="2332"/>
      <c r="K27" s="2334"/>
    </row>
    <row r="28" spans="1:11" ht="11.25" customHeight="1" x14ac:dyDescent="0.25">
      <c r="A28" s="68" t="s">
        <v>497</v>
      </c>
      <c r="B28" s="474">
        <v>5</v>
      </c>
      <c r="C28" s="2347"/>
      <c r="D28" s="2347"/>
      <c r="E28" s="2348"/>
      <c r="F28" s="2349"/>
      <c r="G28" s="2347"/>
      <c r="H28" s="2351"/>
      <c r="I28" s="2352"/>
      <c r="J28" s="2353"/>
      <c r="K28" s="2354"/>
    </row>
    <row r="29" spans="1:11" ht="11.25" customHeight="1" x14ac:dyDescent="0.25">
      <c r="A29" s="68" t="s">
        <v>1344</v>
      </c>
      <c r="B29" s="474"/>
      <c r="C29" s="2347"/>
      <c r="D29" s="2347"/>
      <c r="E29" s="2348"/>
      <c r="F29" s="2349">
        <v>109717000</v>
      </c>
      <c r="G29" s="2349">
        <v>109717000</v>
      </c>
      <c r="H29" s="2349">
        <v>109717000</v>
      </c>
      <c r="I29" s="2349">
        <v>109717000</v>
      </c>
      <c r="J29" s="2349">
        <v>109717000</v>
      </c>
      <c r="K29" s="2349">
        <v>109717000</v>
      </c>
    </row>
    <row r="30" spans="1:11" ht="11.25" customHeight="1" x14ac:dyDescent="0.25">
      <c r="A30" s="59" t="s">
        <v>1470</v>
      </c>
      <c r="B30" s="474"/>
      <c r="C30" s="476"/>
      <c r="D30" s="476"/>
      <c r="E30" s="477"/>
      <c r="F30" s="478"/>
      <c r="G30" s="476"/>
      <c r="H30" s="479"/>
      <c r="I30" s="480"/>
      <c r="J30" s="394"/>
      <c r="K30" s="86"/>
    </row>
    <row r="31" spans="1:11" ht="11.25" customHeight="1" x14ac:dyDescent="0.25">
      <c r="A31" s="68" t="s">
        <v>498</v>
      </c>
      <c r="B31" s="474"/>
      <c r="C31" s="2347"/>
      <c r="D31" s="2347"/>
      <c r="E31" s="2348"/>
      <c r="F31" s="2349"/>
      <c r="G31" s="2347"/>
      <c r="H31" s="2351"/>
      <c r="I31" s="2352"/>
      <c r="J31" s="2353"/>
      <c r="K31" s="2354"/>
    </row>
    <row r="32" spans="1:11" ht="11.25" customHeight="1" x14ac:dyDescent="0.25">
      <c r="A32" s="68" t="s">
        <v>499</v>
      </c>
      <c r="B32" s="474"/>
      <c r="C32" s="2347"/>
      <c r="D32" s="2347"/>
      <c r="E32" s="2348"/>
      <c r="F32" s="2349"/>
      <c r="G32" s="2347"/>
      <c r="H32" s="2351"/>
      <c r="I32" s="2352"/>
      <c r="J32" s="2353"/>
      <c r="K32" s="2354"/>
    </row>
    <row r="33" spans="1:11" ht="11.25" customHeight="1" x14ac:dyDescent="0.25">
      <c r="A33" s="68" t="s">
        <v>500</v>
      </c>
      <c r="B33" s="474"/>
      <c r="C33" s="2347"/>
      <c r="D33" s="2347"/>
      <c r="E33" s="2348"/>
      <c r="F33" s="2349"/>
      <c r="G33" s="2347"/>
      <c r="H33" s="2351"/>
      <c r="I33" s="2352"/>
      <c r="J33" s="2353"/>
      <c r="K33" s="2354"/>
    </row>
    <row r="34" spans="1:11" ht="11.25" customHeight="1" x14ac:dyDescent="0.25">
      <c r="A34" s="68" t="s">
        <v>501</v>
      </c>
      <c r="B34" s="474"/>
      <c r="C34" s="2347"/>
      <c r="D34" s="2347"/>
      <c r="E34" s="2348"/>
      <c r="F34" s="2349"/>
      <c r="G34" s="2347"/>
      <c r="H34" s="2351"/>
      <c r="I34" s="2352"/>
      <c r="J34" s="2353"/>
      <c r="K34" s="2354"/>
    </row>
    <row r="35" spans="1:11" ht="11.25" customHeight="1" x14ac:dyDescent="0.25">
      <c r="A35" s="68" t="s">
        <v>502</v>
      </c>
      <c r="B35" s="474"/>
      <c r="C35" s="2347"/>
      <c r="D35" s="2347"/>
      <c r="E35" s="2348"/>
      <c r="F35" s="2349"/>
      <c r="G35" s="2347"/>
      <c r="H35" s="2351"/>
      <c r="I35" s="2352"/>
      <c r="J35" s="2353"/>
      <c r="K35" s="2354"/>
    </row>
    <row r="36" spans="1:11" ht="11.25" customHeight="1" x14ac:dyDescent="0.25">
      <c r="A36" s="68" t="s">
        <v>503</v>
      </c>
      <c r="B36" s="474"/>
      <c r="C36" s="2347"/>
      <c r="D36" s="2347"/>
      <c r="E36" s="2348"/>
      <c r="F36" s="2349"/>
      <c r="G36" s="2347"/>
      <c r="H36" s="2351"/>
      <c r="I36" s="2352"/>
      <c r="J36" s="2353"/>
      <c r="K36" s="2354"/>
    </row>
    <row r="37" spans="1:11" ht="11.25" customHeight="1" x14ac:dyDescent="0.25">
      <c r="A37" s="204" t="s">
        <v>1471</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1392</v>
      </c>
      <c r="B38" s="474">
        <v>5</v>
      </c>
      <c r="C38" s="2353"/>
      <c r="D38" s="2353"/>
      <c r="E38" s="2354"/>
      <c r="F38" s="2355"/>
      <c r="G38" s="2353"/>
      <c r="H38" s="2356"/>
      <c r="I38" s="2357"/>
      <c r="J38" s="2353"/>
      <c r="K38" s="2354"/>
    </row>
    <row r="39" spans="1:11" ht="11.25" customHeight="1" x14ac:dyDescent="0.25">
      <c r="A39" s="68" t="s">
        <v>1393</v>
      </c>
      <c r="B39" s="474">
        <v>5</v>
      </c>
      <c r="C39" s="2353"/>
      <c r="D39" s="2353"/>
      <c r="E39" s="2354"/>
      <c r="F39" s="2355"/>
      <c r="G39" s="2353"/>
      <c r="H39" s="2356"/>
      <c r="I39" s="2357"/>
      <c r="J39" s="2358"/>
      <c r="K39" s="2359"/>
    </row>
    <row r="40" spans="1:11" ht="11.25" customHeight="1" x14ac:dyDescent="0.25">
      <c r="A40" s="203" t="s">
        <v>1394</v>
      </c>
      <c r="B40" s="474">
        <v>5</v>
      </c>
      <c r="C40" s="2353"/>
      <c r="D40" s="2353"/>
      <c r="E40" s="2354"/>
      <c r="F40" s="2355"/>
      <c r="G40" s="2353"/>
      <c r="H40" s="2356"/>
      <c r="I40" s="2357"/>
      <c r="J40" s="2353"/>
      <c r="K40" s="2354"/>
    </row>
    <row r="41" spans="1:11" ht="11.25" customHeight="1" x14ac:dyDescent="0.25">
      <c r="A41" s="203" t="s">
        <v>1395</v>
      </c>
      <c r="B41" s="474">
        <v>5</v>
      </c>
      <c r="C41" s="2353"/>
      <c r="D41" s="2347"/>
      <c r="E41" s="2348"/>
      <c r="F41" s="2349"/>
      <c r="G41" s="2347"/>
      <c r="H41" s="2351"/>
      <c r="I41" s="2352"/>
      <c r="J41" s="2353"/>
      <c r="K41" s="2354"/>
    </row>
    <row r="42" spans="1:11" ht="5.0999999999999996" customHeight="1" x14ac:dyDescent="0.25">
      <c r="A42" s="282"/>
      <c r="B42" s="474"/>
      <c r="C42" s="2142"/>
      <c r="D42" s="2360"/>
      <c r="E42" s="2361"/>
      <c r="F42" s="2362"/>
      <c r="G42" s="2360"/>
      <c r="H42" s="2363"/>
      <c r="I42" s="2364"/>
      <c r="J42" s="2142"/>
      <c r="K42" s="2143"/>
    </row>
    <row r="43" spans="1:11" ht="11.25" customHeight="1" x14ac:dyDescent="0.25">
      <c r="A43" s="491" t="s">
        <v>1472</v>
      </c>
      <c r="B43" s="492"/>
      <c r="C43" s="493"/>
      <c r="D43" s="493"/>
      <c r="E43" s="494"/>
      <c r="F43" s="495"/>
      <c r="G43" s="493"/>
      <c r="H43" s="496"/>
      <c r="I43" s="497"/>
      <c r="J43" s="493"/>
      <c r="K43" s="494"/>
    </row>
    <row r="44" spans="1:11" ht="26.25" customHeight="1" x14ac:dyDescent="0.25">
      <c r="A44" s="354" t="s">
        <v>1391</v>
      </c>
      <c r="B44" s="434"/>
      <c r="C44" s="2326"/>
      <c r="D44" s="2326"/>
      <c r="E44" s="2366"/>
      <c r="F44" s="2367"/>
      <c r="G44" s="1534"/>
      <c r="H44" s="1535"/>
      <c r="I44" s="2365"/>
      <c r="J44" s="1534"/>
      <c r="K44" s="1538"/>
    </row>
    <row r="45" spans="1:11" ht="11.25" customHeight="1" x14ac:dyDescent="0.25">
      <c r="A45" s="68" t="s">
        <v>708</v>
      </c>
      <c r="B45" s="434">
        <v>5</v>
      </c>
      <c r="C45" s="2326"/>
      <c r="D45" s="2326"/>
      <c r="E45" s="2328"/>
      <c r="F45" s="2341"/>
      <c r="G45" s="1536"/>
      <c r="H45" s="1537"/>
      <c r="I45" s="2325"/>
      <c r="J45" s="1536"/>
      <c r="K45" s="1539"/>
    </row>
    <row r="46" spans="1:11" ht="11.25" customHeight="1" x14ac:dyDescent="0.25">
      <c r="A46" s="68" t="s">
        <v>709</v>
      </c>
      <c r="B46" s="434"/>
      <c r="C46" s="2326"/>
      <c r="D46" s="2326"/>
      <c r="E46" s="2328"/>
      <c r="F46" s="2341"/>
      <c r="G46" s="2326"/>
      <c r="H46" s="2327"/>
      <c r="I46" s="2325"/>
      <c r="J46" s="2326"/>
      <c r="K46" s="2328"/>
    </row>
    <row r="47" spans="1:11" ht="11.25" customHeight="1" x14ac:dyDescent="0.25">
      <c r="A47" s="68" t="s">
        <v>710</v>
      </c>
      <c r="B47" s="434"/>
      <c r="C47" s="2326"/>
      <c r="D47" s="2326"/>
      <c r="E47" s="2328"/>
      <c r="F47" s="2341"/>
      <c r="G47" s="1536"/>
      <c r="H47" s="1537"/>
      <c r="I47" s="2325"/>
      <c r="J47" s="1536"/>
      <c r="K47" s="1539"/>
    </row>
    <row r="48" spans="1:11" ht="11.25" customHeight="1" x14ac:dyDescent="0.25">
      <c r="A48" s="68" t="s">
        <v>163</v>
      </c>
      <c r="B48" s="434"/>
      <c r="C48" s="2326"/>
      <c r="D48" s="2326"/>
      <c r="E48" s="2328"/>
      <c r="F48" s="2341"/>
      <c r="G48" s="2326"/>
      <c r="H48" s="2327"/>
      <c r="I48" s="2325"/>
      <c r="J48" s="2326"/>
      <c r="K48" s="2328"/>
    </row>
    <row r="49" spans="1:12" ht="11.25" customHeight="1" x14ac:dyDescent="0.25">
      <c r="A49" s="68" t="s">
        <v>386</v>
      </c>
      <c r="B49" s="434"/>
      <c r="C49" s="2326"/>
      <c r="D49" s="2326"/>
      <c r="E49" s="2328"/>
      <c r="F49" s="2341"/>
      <c r="G49" s="1536"/>
      <c r="H49" s="1537"/>
      <c r="I49" s="2325"/>
      <c r="J49" s="1536"/>
      <c r="K49" s="1539"/>
    </row>
    <row r="50" spans="1:12" ht="11.25" customHeight="1" x14ac:dyDescent="0.25">
      <c r="A50" s="68" t="s">
        <v>394</v>
      </c>
      <c r="B50" s="434"/>
      <c r="C50" s="2088"/>
      <c r="D50" s="2088"/>
      <c r="E50" s="2106"/>
      <c r="F50" s="2107"/>
      <c r="G50" s="1536"/>
      <c r="H50" s="1537"/>
      <c r="I50" s="2108"/>
      <c r="J50" s="1536"/>
      <c r="K50" s="1539"/>
    </row>
    <row r="51" spans="1:12" ht="11.25" customHeight="1" x14ac:dyDescent="0.25">
      <c r="A51" s="68" t="s">
        <v>504</v>
      </c>
      <c r="B51" s="434"/>
      <c r="C51" s="2368"/>
      <c r="D51" s="2368"/>
      <c r="E51" s="2369"/>
      <c r="F51" s="2370"/>
      <c r="G51" s="1536"/>
      <c r="H51" s="1537"/>
      <c r="I51" s="2371"/>
      <c r="J51" s="1536"/>
      <c r="K51" s="1539"/>
    </row>
    <row r="52" spans="1:12" ht="5.0999999999999996" customHeight="1" x14ac:dyDescent="0.25">
      <c r="A52" s="79"/>
      <c r="B52" s="434"/>
      <c r="C52" s="394"/>
      <c r="D52" s="394"/>
      <c r="E52" s="86"/>
      <c r="F52" s="393"/>
      <c r="G52" s="1536"/>
      <c r="H52" s="1537"/>
      <c r="I52" s="2145"/>
      <c r="J52" s="1536"/>
      <c r="K52" s="1539"/>
    </row>
    <row r="53" spans="1:12" ht="11.25" customHeight="1" x14ac:dyDescent="0.25">
      <c r="A53" s="59" t="s">
        <v>623</v>
      </c>
      <c r="B53" s="434"/>
      <c r="C53" s="394"/>
      <c r="D53" s="394"/>
      <c r="E53" s="86"/>
      <c r="F53" s="393"/>
      <c r="G53" s="1536"/>
      <c r="H53" s="1537"/>
      <c r="I53" s="241"/>
      <c r="J53" s="1536"/>
      <c r="K53" s="1539"/>
    </row>
    <row r="54" spans="1:12" ht="11.25" customHeight="1" x14ac:dyDescent="0.25">
      <c r="A54" s="203" t="s">
        <v>1396</v>
      </c>
      <c r="B54" s="474">
        <v>6</v>
      </c>
      <c r="C54" s="2088"/>
      <c r="D54" s="2088"/>
      <c r="E54" s="2106"/>
      <c r="F54" s="2107"/>
      <c r="G54" s="2088"/>
      <c r="H54" s="2091"/>
      <c r="I54" s="2108"/>
      <c r="J54" s="2088"/>
      <c r="K54" s="2106"/>
      <c r="L54" s="247"/>
    </row>
    <row r="55" spans="1:12" ht="11.25" customHeight="1" x14ac:dyDescent="0.25">
      <c r="A55" s="203" t="s">
        <v>1397</v>
      </c>
      <c r="B55" s="474">
        <v>6</v>
      </c>
      <c r="C55" s="2088"/>
      <c r="D55" s="2088"/>
      <c r="E55" s="2106"/>
      <c r="F55" s="2107"/>
      <c r="G55" s="2088"/>
      <c r="H55" s="2091"/>
      <c r="I55" s="2108"/>
      <c r="J55" s="2088"/>
      <c r="K55" s="2106"/>
      <c r="L55" s="247"/>
    </row>
    <row r="56" spans="1:12" ht="11.25" customHeight="1" x14ac:dyDescent="0.25">
      <c r="A56" s="68" t="s">
        <v>1511</v>
      </c>
      <c r="B56" s="474"/>
      <c r="C56" s="2372"/>
      <c r="D56" s="2372"/>
      <c r="E56" s="2373"/>
      <c r="F56" s="2374"/>
      <c r="G56" s="2372"/>
      <c r="H56" s="2375"/>
      <c r="I56" s="2376"/>
      <c r="J56" s="2368"/>
      <c r="K56" s="2369"/>
    </row>
    <row r="57" spans="1:12" ht="11.25" customHeight="1" x14ac:dyDescent="0.25">
      <c r="A57" s="68" t="s">
        <v>1433</v>
      </c>
      <c r="B57" s="474">
        <v>7</v>
      </c>
      <c r="C57" s="2377"/>
      <c r="D57" s="2377"/>
      <c r="E57" s="2378"/>
      <c r="F57" s="2379"/>
      <c r="G57" s="2377"/>
      <c r="H57" s="2380"/>
      <c r="I57" s="2381"/>
      <c r="J57" s="2088"/>
      <c r="K57" s="2106"/>
    </row>
    <row r="58" spans="1:12" ht="15.75" customHeight="1" x14ac:dyDescent="0.25">
      <c r="A58" s="68" t="s">
        <v>395</v>
      </c>
      <c r="B58" s="474"/>
      <c r="C58" s="2382"/>
      <c r="D58" s="2382"/>
      <c r="E58" s="2383"/>
      <c r="F58" s="2384"/>
      <c r="G58" s="2382"/>
      <c r="H58" s="2385"/>
      <c r="I58" s="2386"/>
      <c r="J58" s="2093"/>
      <c r="K58" s="2387"/>
    </row>
    <row r="59" spans="1:12" ht="11.25" customHeight="1" x14ac:dyDescent="0.25">
      <c r="A59" s="68" t="s">
        <v>494</v>
      </c>
      <c r="B59" s="474"/>
      <c r="C59" s="2377"/>
      <c r="D59" s="2377"/>
      <c r="E59" s="2378"/>
      <c r="F59" s="2379"/>
      <c r="G59" s="2377"/>
      <c r="H59" s="2380"/>
      <c r="I59" s="2381"/>
      <c r="J59" s="2088"/>
      <c r="K59" s="2106"/>
    </row>
    <row r="60" spans="1:12" ht="11.25" customHeight="1" x14ac:dyDescent="0.25">
      <c r="A60" s="68" t="s">
        <v>495</v>
      </c>
      <c r="B60" s="474"/>
      <c r="C60" s="2377"/>
      <c r="D60" s="2377"/>
      <c r="E60" s="2378"/>
      <c r="F60" s="2379"/>
      <c r="G60" s="2377"/>
      <c r="H60" s="2380"/>
      <c r="I60" s="2381"/>
      <c r="J60" s="2088"/>
      <c r="K60" s="2106"/>
    </row>
    <row r="61" spans="1:12" ht="11.25" customHeight="1" x14ac:dyDescent="0.25">
      <c r="A61" s="68" t="s">
        <v>496</v>
      </c>
      <c r="B61" s="474"/>
      <c r="C61" s="2377"/>
      <c r="D61" s="2377"/>
      <c r="E61" s="2378"/>
      <c r="F61" s="2379"/>
      <c r="G61" s="2377"/>
      <c r="H61" s="2380"/>
      <c r="I61" s="2381"/>
      <c r="J61" s="2088"/>
      <c r="K61" s="2106"/>
    </row>
    <row r="62" spans="1:12" ht="11.25" customHeight="1" x14ac:dyDescent="0.25">
      <c r="A62" s="68" t="s">
        <v>1432</v>
      </c>
      <c r="B62" s="474"/>
      <c r="C62" s="2388"/>
      <c r="D62" s="2388"/>
      <c r="E62" s="2389"/>
      <c r="F62" s="2390"/>
      <c r="G62" s="2388"/>
      <c r="H62" s="2391"/>
      <c r="I62" s="2392"/>
      <c r="J62" s="2127"/>
      <c r="K62" s="2130"/>
    </row>
    <row r="63" spans="1:12" ht="11.25" customHeight="1" x14ac:dyDescent="0.25">
      <c r="A63" s="204" t="s">
        <v>621</v>
      </c>
      <c r="B63" s="474"/>
      <c r="C63" s="271">
        <f>SUM(C58:C62)</f>
        <v>0</v>
      </c>
      <c r="D63" s="271">
        <f t="shared" ref="D63:K63" si="1">SUM(D58:D62)</f>
        <v>0</v>
      </c>
      <c r="E63" s="223">
        <f t="shared" si="1"/>
        <v>0</v>
      </c>
      <c r="F63" s="272">
        <f t="shared" si="1"/>
        <v>0</v>
      </c>
      <c r="G63" s="271">
        <f t="shared" si="1"/>
        <v>0</v>
      </c>
      <c r="H63" s="501">
        <f t="shared" si="1"/>
        <v>0</v>
      </c>
      <c r="I63" s="273">
        <f t="shared" si="1"/>
        <v>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1510</v>
      </c>
      <c r="B66" s="921"/>
      <c r="C66" s="921"/>
      <c r="D66" s="921"/>
      <c r="E66" s="921"/>
      <c r="F66" s="921"/>
      <c r="G66" s="921"/>
      <c r="H66" s="921"/>
      <c r="I66" s="921"/>
      <c r="J66" s="921"/>
      <c r="K66" s="921"/>
    </row>
    <row r="67" spans="1:11" s="586" customFormat="1" x14ac:dyDescent="0.25">
      <c r="A67" s="1052" t="s">
        <v>1512</v>
      </c>
      <c r="B67" s="921"/>
      <c r="C67" s="921"/>
      <c r="D67" s="921"/>
      <c r="E67" s="921"/>
      <c r="F67" s="921"/>
      <c r="G67" s="921"/>
      <c r="H67" s="921"/>
      <c r="I67" s="921"/>
      <c r="J67" s="921"/>
      <c r="K67" s="921"/>
    </row>
    <row r="68" spans="1:11" s="586" customFormat="1" x14ac:dyDescent="0.25">
      <c r="A68" s="1052" t="s">
        <v>1513</v>
      </c>
      <c r="B68" s="921"/>
      <c r="C68" s="921"/>
      <c r="D68" s="921"/>
      <c r="E68" s="922"/>
      <c r="F68" s="922"/>
      <c r="G68" s="921"/>
      <c r="H68" s="921"/>
      <c r="I68" s="921"/>
      <c r="J68" s="921"/>
      <c r="K68" s="921"/>
    </row>
    <row r="69" spans="1:11" s="586" customFormat="1" x14ac:dyDescent="0.25">
      <c r="A69" s="1052" t="s">
        <v>1514</v>
      </c>
      <c r="B69" s="921"/>
      <c r="C69" s="921"/>
      <c r="D69" s="921"/>
      <c r="E69" s="922"/>
      <c r="F69" s="922"/>
      <c r="G69" s="921"/>
      <c r="H69" s="921"/>
      <c r="I69" s="921"/>
      <c r="J69" s="921"/>
      <c r="K69" s="921"/>
    </row>
    <row r="70" spans="1:11" s="586" customFormat="1" x14ac:dyDescent="0.25">
      <c r="A70" s="1055" t="s">
        <v>1530</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622</v>
      </c>
      <c r="B72" s="921"/>
      <c r="C72" s="921"/>
      <c r="D72" s="921"/>
      <c r="E72" s="922"/>
      <c r="F72" s="922"/>
      <c r="G72" s="921"/>
      <c r="H72" s="921"/>
      <c r="I72" s="921"/>
      <c r="J72" s="921"/>
      <c r="K72" s="921"/>
    </row>
    <row r="73" spans="1:11" x14ac:dyDescent="0.25">
      <c r="A73" s="1055" t="s">
        <v>1528</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42" activePane="bottomRight" state="frozen"/>
      <selection pane="topRight"/>
      <selection pane="bottomLeft"/>
      <selection pane="bottomRight" activeCell="C7" sqref="C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LIM471 Ephraim Mogale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1025</v>
      </c>
      <c r="D2" s="396" t="s">
        <v>1026</v>
      </c>
      <c r="E2" s="396" t="s">
        <v>1027</v>
      </c>
      <c r="F2" s="396" t="s">
        <v>1028</v>
      </c>
      <c r="G2" s="396" t="s">
        <v>1398</v>
      </c>
      <c r="H2" s="396" t="s">
        <v>1473</v>
      </c>
      <c r="I2" s="396" t="s">
        <v>1399</v>
      </c>
      <c r="J2" s="396" t="s">
        <v>1029</v>
      </c>
      <c r="K2" s="396" t="s">
        <v>391</v>
      </c>
      <c r="L2" s="396" t="s">
        <v>1030</v>
      </c>
      <c r="M2" s="396" t="s">
        <v>392</v>
      </c>
      <c r="N2" s="396" t="s">
        <v>1474</v>
      </c>
      <c r="O2" s="396" t="s">
        <v>1031</v>
      </c>
      <c r="P2" s="396" t="s">
        <v>393</v>
      </c>
      <c r="Q2" s="396" t="s">
        <v>1475</v>
      </c>
      <c r="R2" s="513" t="s">
        <v>1476</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5">
        <v>6619</v>
      </c>
      <c r="D5" s="2135">
        <v>8</v>
      </c>
      <c r="E5" s="2135">
        <v>262</v>
      </c>
      <c r="F5" s="2135">
        <v>1889</v>
      </c>
      <c r="G5" s="2135">
        <v>1512</v>
      </c>
      <c r="H5" s="2135">
        <v>814</v>
      </c>
      <c r="I5" s="2135">
        <v>5</v>
      </c>
      <c r="J5" s="2135"/>
      <c r="K5" s="2135">
        <v>606</v>
      </c>
      <c r="L5" s="2135"/>
      <c r="M5" s="2135"/>
      <c r="N5" s="2135"/>
      <c r="O5" s="2135"/>
      <c r="P5" s="2135"/>
      <c r="Q5" s="2135"/>
      <c r="R5" s="2393"/>
    </row>
    <row r="6" spans="1:18" ht="11.25" customHeight="1" x14ac:dyDescent="0.25">
      <c r="A6" s="128" t="s">
        <v>1341</v>
      </c>
      <c r="B6" s="60"/>
      <c r="C6" s="2135"/>
      <c r="D6" s="2135"/>
      <c r="E6" s="2135"/>
      <c r="F6" s="2135"/>
      <c r="G6" s="2135"/>
      <c r="H6" s="2135"/>
      <c r="I6" s="2135"/>
      <c r="J6" s="2135"/>
      <c r="K6" s="2135"/>
      <c r="L6" s="2135"/>
      <c r="M6" s="2135"/>
      <c r="N6" s="2135"/>
      <c r="O6" s="2135"/>
      <c r="P6" s="2135"/>
      <c r="Q6" s="2135"/>
      <c r="R6" s="2393"/>
    </row>
    <row r="7" spans="1:18" ht="11.25" customHeight="1" x14ac:dyDescent="0.25">
      <c r="A7" s="128" t="s">
        <v>390</v>
      </c>
      <c r="B7" s="60"/>
      <c r="C7" s="2135"/>
      <c r="D7" s="2135"/>
      <c r="E7" s="2135"/>
      <c r="F7" s="2135"/>
      <c r="G7" s="2135"/>
      <c r="H7" s="2135"/>
      <c r="I7" s="2135"/>
      <c r="J7" s="2135"/>
      <c r="K7" s="2135"/>
      <c r="L7" s="2135"/>
      <c r="M7" s="2135"/>
      <c r="N7" s="2135"/>
      <c r="O7" s="2135"/>
      <c r="P7" s="2135"/>
      <c r="Q7" s="2135"/>
      <c r="R7" s="2393"/>
    </row>
    <row r="8" spans="1:18" ht="11.25" customHeight="1" x14ac:dyDescent="0.25">
      <c r="A8" s="128" t="s">
        <v>703</v>
      </c>
      <c r="B8" s="60"/>
      <c r="C8" s="2135"/>
      <c r="D8" s="2135"/>
      <c r="E8" s="2135"/>
      <c r="F8" s="2135"/>
      <c r="G8" s="2135"/>
      <c r="H8" s="2135"/>
      <c r="I8" s="2135"/>
      <c r="J8" s="2135"/>
      <c r="K8" s="2135"/>
      <c r="L8" s="2135"/>
      <c r="M8" s="2135"/>
      <c r="N8" s="2135"/>
      <c r="O8" s="2135"/>
      <c r="P8" s="2135"/>
      <c r="Q8" s="2135"/>
      <c r="R8" s="2393"/>
    </row>
    <row r="9" spans="1:18" ht="11.25" customHeight="1" x14ac:dyDescent="0.25">
      <c r="A9" s="128" t="s">
        <v>1342</v>
      </c>
      <c r="B9" s="60"/>
      <c r="C9" s="2135"/>
      <c r="D9" s="2135"/>
      <c r="E9" s="2135"/>
      <c r="F9" s="2135"/>
      <c r="G9" s="2135"/>
      <c r="H9" s="2135"/>
      <c r="I9" s="2135"/>
      <c r="J9" s="2135"/>
      <c r="K9" s="2135"/>
      <c r="L9" s="2135"/>
      <c r="M9" s="2135"/>
      <c r="N9" s="2135"/>
      <c r="O9" s="2135"/>
      <c r="P9" s="2135"/>
      <c r="Q9" s="2135"/>
      <c r="R9" s="2393"/>
    </row>
    <row r="10" spans="1:18" ht="11.25" customHeight="1" x14ac:dyDescent="0.25">
      <c r="A10" s="128" t="s">
        <v>704</v>
      </c>
      <c r="B10" s="60"/>
      <c r="C10" s="2135"/>
      <c r="D10" s="2135"/>
      <c r="E10" s="2135"/>
      <c r="F10" s="2135"/>
      <c r="G10" s="2135"/>
      <c r="H10" s="2135"/>
      <c r="I10" s="2135"/>
      <c r="J10" s="2135"/>
      <c r="K10" s="2135"/>
      <c r="L10" s="2135"/>
      <c r="M10" s="2135"/>
      <c r="N10" s="2135"/>
      <c r="O10" s="2135"/>
      <c r="P10" s="2135"/>
      <c r="Q10" s="2135"/>
      <c r="R10" s="2393"/>
    </row>
    <row r="11" spans="1:18" ht="11.25" customHeight="1" x14ac:dyDescent="0.25">
      <c r="A11" s="128" t="s">
        <v>350</v>
      </c>
      <c r="B11" s="60"/>
      <c r="C11" s="2135"/>
      <c r="D11" s="2135"/>
      <c r="E11" s="2135"/>
      <c r="F11" s="2135"/>
      <c r="G11" s="2135"/>
      <c r="H11" s="2135"/>
      <c r="I11" s="2135"/>
      <c r="J11" s="2135"/>
      <c r="K11" s="2135"/>
      <c r="L11" s="2135"/>
      <c r="M11" s="2135"/>
      <c r="N11" s="2135"/>
      <c r="O11" s="2135"/>
      <c r="P11" s="2135"/>
      <c r="Q11" s="2135"/>
      <c r="R11" s="2393"/>
    </row>
    <row r="12" spans="1:18" ht="11.25" customHeight="1" x14ac:dyDescent="0.25">
      <c r="A12" s="128" t="s">
        <v>351</v>
      </c>
      <c r="B12" s="60"/>
      <c r="C12" s="2135"/>
      <c r="D12" s="2135"/>
      <c r="E12" s="2135"/>
      <c r="F12" s="2135"/>
      <c r="G12" s="2135"/>
      <c r="H12" s="2135"/>
      <c r="I12" s="2135"/>
      <c r="J12" s="2135"/>
      <c r="K12" s="2135"/>
      <c r="L12" s="2135"/>
      <c r="M12" s="2135"/>
      <c r="N12" s="2135"/>
      <c r="O12" s="2135"/>
      <c r="P12" s="2135"/>
      <c r="Q12" s="2135"/>
      <c r="R12" s="2393"/>
    </row>
    <row r="13" spans="1:18" ht="11.25" customHeight="1" x14ac:dyDescent="0.25">
      <c r="A13" s="128" t="s">
        <v>352</v>
      </c>
      <c r="B13" s="60"/>
      <c r="C13" s="2135"/>
      <c r="D13" s="2135"/>
      <c r="E13" s="2135"/>
      <c r="F13" s="2135"/>
      <c r="G13" s="2135"/>
      <c r="H13" s="2135"/>
      <c r="I13" s="2135"/>
      <c r="J13" s="2135"/>
      <c r="K13" s="2135"/>
      <c r="L13" s="2135"/>
      <c r="M13" s="2135"/>
      <c r="N13" s="2135"/>
      <c r="O13" s="2135"/>
      <c r="P13" s="2135"/>
      <c r="Q13" s="2135"/>
      <c r="R13" s="2393"/>
    </row>
    <row r="14" spans="1:18" ht="11.25" customHeight="1" x14ac:dyDescent="0.25">
      <c r="A14" s="128" t="s">
        <v>714</v>
      </c>
      <c r="B14" s="60">
        <v>5</v>
      </c>
      <c r="C14" s="2135"/>
      <c r="D14" s="2135"/>
      <c r="E14" s="2135"/>
      <c r="F14" s="2135"/>
      <c r="G14" s="2135"/>
      <c r="H14" s="2135"/>
      <c r="I14" s="2135"/>
      <c r="J14" s="2135"/>
      <c r="K14" s="2135"/>
      <c r="L14" s="2135"/>
      <c r="M14" s="2135"/>
      <c r="N14" s="2135"/>
      <c r="O14" s="2135"/>
      <c r="P14" s="2135"/>
      <c r="Q14" s="2135"/>
      <c r="R14" s="2393"/>
    </row>
    <row r="15" spans="1:18" ht="11.25" customHeight="1" x14ac:dyDescent="0.25">
      <c r="A15" s="128" t="s">
        <v>702</v>
      </c>
      <c r="B15" s="60">
        <v>5</v>
      </c>
      <c r="C15" s="2135"/>
      <c r="D15" s="2135"/>
      <c r="E15" s="2135"/>
      <c r="F15" s="2135"/>
      <c r="G15" s="2135"/>
      <c r="H15" s="2135"/>
      <c r="I15" s="2135"/>
      <c r="J15" s="2135"/>
      <c r="K15" s="2135"/>
      <c r="L15" s="2135"/>
      <c r="M15" s="2135"/>
      <c r="N15" s="2135"/>
      <c r="O15" s="2135"/>
      <c r="P15" s="2135"/>
      <c r="Q15" s="2135"/>
      <c r="R15" s="2393"/>
    </row>
    <row r="16" spans="1:18" ht="11.25" customHeight="1" x14ac:dyDescent="0.25">
      <c r="A16" s="132" t="s">
        <v>1343</v>
      </c>
      <c r="B16" s="228"/>
      <c r="C16" s="1458"/>
      <c r="D16" s="1458"/>
      <c r="E16" s="1458"/>
      <c r="F16" s="1458"/>
      <c r="G16" s="1458"/>
      <c r="H16" s="1458"/>
      <c r="I16" s="2142"/>
      <c r="J16" s="1458"/>
      <c r="K16" s="1458"/>
      <c r="L16" s="1458"/>
      <c r="M16" s="1458"/>
      <c r="N16" s="1458"/>
      <c r="O16" s="1458"/>
      <c r="P16" s="1458"/>
      <c r="Q16" s="1458"/>
      <c r="R16" s="2133"/>
    </row>
    <row r="17" spans="1:18" ht="11.25" customHeight="1" x14ac:dyDescent="0.25">
      <c r="A17" s="128" t="s">
        <v>1596</v>
      </c>
      <c r="B17" s="60"/>
      <c r="C17" s="2326">
        <v>3</v>
      </c>
      <c r="D17" s="2326">
        <v>3</v>
      </c>
      <c r="E17" s="2326">
        <v>3</v>
      </c>
      <c r="F17" s="2326">
        <v>3</v>
      </c>
      <c r="G17" s="2326">
        <v>3</v>
      </c>
      <c r="H17" s="2326">
        <v>3</v>
      </c>
      <c r="I17" s="2326">
        <v>3</v>
      </c>
      <c r="J17" s="2326"/>
      <c r="K17" s="2326">
        <v>3</v>
      </c>
      <c r="L17" s="2326"/>
      <c r="M17" s="2326"/>
      <c r="N17" s="2326"/>
      <c r="O17" s="2326"/>
      <c r="P17" s="2326"/>
      <c r="Q17" s="2326"/>
      <c r="R17" s="2327"/>
    </row>
    <row r="18" spans="1:18" ht="11.25" customHeight="1" x14ac:dyDescent="0.25">
      <c r="A18" s="128" t="s">
        <v>1597</v>
      </c>
      <c r="B18" s="60"/>
      <c r="C18" s="2326">
        <v>5</v>
      </c>
      <c r="D18" s="2394">
        <v>5</v>
      </c>
      <c r="E18" s="2394">
        <v>5</v>
      </c>
      <c r="F18" s="2394">
        <v>5</v>
      </c>
      <c r="G18" s="2394">
        <v>5</v>
      </c>
      <c r="H18" s="2394">
        <v>5</v>
      </c>
      <c r="I18" s="2394">
        <v>5</v>
      </c>
      <c r="J18" s="2394"/>
      <c r="K18" s="2394">
        <v>5</v>
      </c>
      <c r="L18" s="2394"/>
      <c r="M18" s="2394"/>
      <c r="N18" s="2394"/>
      <c r="O18" s="2394"/>
      <c r="P18" s="2394"/>
      <c r="Q18" s="2394"/>
      <c r="R18" s="2395"/>
    </row>
    <row r="19" spans="1:18" ht="11.25" customHeight="1" x14ac:dyDescent="0.25">
      <c r="A19" s="128" t="s">
        <v>1598</v>
      </c>
      <c r="B19" s="60"/>
      <c r="C19" s="2326" t="s">
        <v>160</v>
      </c>
      <c r="D19" s="2326" t="s">
        <v>160</v>
      </c>
      <c r="E19" s="2326" t="s">
        <v>160</v>
      </c>
      <c r="F19" s="2326" t="s">
        <v>160</v>
      </c>
      <c r="G19" s="2326" t="s">
        <v>160</v>
      </c>
      <c r="H19" s="2326" t="s">
        <v>160</v>
      </c>
      <c r="I19" s="2326" t="s">
        <v>160</v>
      </c>
      <c r="J19" s="2326"/>
      <c r="K19" s="2326" t="s">
        <v>160</v>
      </c>
      <c r="L19" s="2326"/>
      <c r="M19" s="2326"/>
      <c r="N19" s="2326"/>
      <c r="O19" s="2326"/>
      <c r="P19" s="2326"/>
      <c r="Q19" s="2326"/>
      <c r="R19" s="2327"/>
    </row>
    <row r="20" spans="1:18" ht="11.25" customHeight="1" x14ac:dyDescent="0.25">
      <c r="A20" s="128" t="s">
        <v>1599</v>
      </c>
      <c r="B20" s="60"/>
      <c r="C20" s="2326" t="s">
        <v>164</v>
      </c>
      <c r="D20" s="2326" t="s">
        <v>164</v>
      </c>
      <c r="E20" s="2326" t="s">
        <v>164</v>
      </c>
      <c r="F20" s="2326" t="s">
        <v>164</v>
      </c>
      <c r="G20" s="2326" t="s">
        <v>164</v>
      </c>
      <c r="H20" s="2326" t="s">
        <v>164</v>
      </c>
      <c r="I20" s="2326" t="s">
        <v>164</v>
      </c>
      <c r="J20" s="2326"/>
      <c r="K20" s="2326" t="s">
        <v>164</v>
      </c>
      <c r="L20" s="2326"/>
      <c r="M20" s="2326"/>
      <c r="N20" s="2326"/>
      <c r="O20" s="2326"/>
      <c r="P20" s="2326"/>
      <c r="Q20" s="2326"/>
      <c r="R20" s="2327"/>
    </row>
    <row r="21" spans="1:18" ht="11.25" customHeight="1" x14ac:dyDescent="0.25">
      <c r="A21" s="128" t="s">
        <v>163</v>
      </c>
      <c r="B21" s="60"/>
      <c r="C21" s="2326"/>
      <c r="D21" s="2326"/>
      <c r="E21" s="2326"/>
      <c r="F21" s="2326"/>
      <c r="G21" s="2326"/>
      <c r="H21" s="2326"/>
      <c r="I21" s="2326"/>
      <c r="J21" s="2326"/>
      <c r="K21" s="2326"/>
      <c r="L21" s="2326"/>
      <c r="M21" s="2326"/>
      <c r="N21" s="2326"/>
      <c r="O21" s="2326"/>
      <c r="P21" s="2326"/>
      <c r="Q21" s="2326"/>
      <c r="R21" s="2327"/>
    </row>
    <row r="22" spans="1:18" ht="11.25" customHeight="1" x14ac:dyDescent="0.25">
      <c r="A22" s="128" t="s">
        <v>635</v>
      </c>
      <c r="B22" s="516"/>
      <c r="C22" s="2326"/>
      <c r="D22" s="2326"/>
      <c r="E22" s="2326"/>
      <c r="F22" s="2326"/>
      <c r="G22" s="2326"/>
      <c r="H22" s="2326"/>
      <c r="I22" s="2326"/>
      <c r="J22" s="2326"/>
      <c r="K22" s="2326"/>
      <c r="L22" s="2326"/>
      <c r="M22" s="2326"/>
      <c r="N22" s="2326"/>
      <c r="O22" s="2326"/>
      <c r="P22" s="2326"/>
      <c r="Q22" s="2326"/>
      <c r="R22" s="2327"/>
    </row>
    <row r="23" spans="1:18" ht="11.25" customHeight="1" x14ac:dyDescent="0.25">
      <c r="A23" s="128" t="s">
        <v>636</v>
      </c>
      <c r="B23" s="516"/>
      <c r="C23" s="2326"/>
      <c r="D23" s="2326"/>
      <c r="E23" s="2326"/>
      <c r="F23" s="2326"/>
      <c r="G23" s="2326"/>
      <c r="H23" s="2326"/>
      <c r="I23" s="2326"/>
      <c r="J23" s="2326"/>
      <c r="K23" s="2326"/>
      <c r="L23" s="2326"/>
      <c r="M23" s="2326"/>
      <c r="N23" s="2326"/>
      <c r="O23" s="2326"/>
      <c r="P23" s="2326"/>
      <c r="Q23" s="2326"/>
      <c r="R23" s="2327"/>
    </row>
    <row r="24" spans="1:18" ht="11.25" customHeight="1" x14ac:dyDescent="0.25">
      <c r="A24" s="128" t="s">
        <v>296</v>
      </c>
      <c r="B24" s="516"/>
      <c r="C24" s="2326"/>
      <c r="D24" s="2326"/>
      <c r="E24" s="2326"/>
      <c r="F24" s="2326"/>
      <c r="G24" s="2326"/>
      <c r="H24" s="2326"/>
      <c r="I24" s="2326"/>
      <c r="J24" s="2326"/>
      <c r="K24" s="2326"/>
      <c r="L24" s="2326"/>
      <c r="M24" s="2326"/>
      <c r="N24" s="2326"/>
      <c r="O24" s="2326"/>
      <c r="P24" s="2326"/>
      <c r="Q24" s="2326"/>
      <c r="R24" s="2327"/>
    </row>
    <row r="25" spans="1:18" ht="11.25" customHeight="1" x14ac:dyDescent="0.25">
      <c r="A25" s="127" t="s">
        <v>1470</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47"/>
      <c r="D26" s="2347"/>
      <c r="E26" s="2347"/>
      <c r="F26" s="2347"/>
      <c r="G26" s="2347"/>
      <c r="H26" s="2347"/>
      <c r="I26" s="2347"/>
      <c r="J26" s="2347"/>
      <c r="K26" s="2347"/>
      <c r="L26" s="2347"/>
      <c r="M26" s="2347"/>
      <c r="N26" s="2347"/>
      <c r="O26" s="2347"/>
      <c r="P26" s="2347"/>
      <c r="Q26" s="2347"/>
      <c r="R26" s="2351"/>
    </row>
    <row r="27" spans="1:18" ht="11.25" customHeight="1" x14ac:dyDescent="0.25">
      <c r="A27" s="128" t="s">
        <v>499</v>
      </c>
      <c r="B27" s="60"/>
      <c r="C27" s="2347"/>
      <c r="D27" s="2347"/>
      <c r="E27" s="2347"/>
      <c r="F27" s="2347"/>
      <c r="G27" s="2347"/>
      <c r="H27" s="2347"/>
      <c r="I27" s="2347"/>
      <c r="J27" s="2347"/>
      <c r="K27" s="2347"/>
      <c r="L27" s="2347"/>
      <c r="M27" s="2347"/>
      <c r="N27" s="2347"/>
      <c r="O27" s="2347"/>
      <c r="P27" s="2347"/>
      <c r="Q27" s="2347"/>
      <c r="R27" s="2351"/>
    </row>
    <row r="28" spans="1:18" ht="11.25" customHeight="1" x14ac:dyDescent="0.25">
      <c r="A28" s="128" t="s">
        <v>500</v>
      </c>
      <c r="B28" s="60"/>
      <c r="C28" s="2347"/>
      <c r="D28" s="2347"/>
      <c r="E28" s="2347"/>
      <c r="F28" s="2347"/>
      <c r="G28" s="2347"/>
      <c r="H28" s="2347"/>
      <c r="I28" s="2347"/>
      <c r="J28" s="2347"/>
      <c r="K28" s="2347"/>
      <c r="L28" s="2347"/>
      <c r="M28" s="2347"/>
      <c r="N28" s="2347"/>
      <c r="O28" s="2347"/>
      <c r="P28" s="2347"/>
      <c r="Q28" s="2347"/>
      <c r="R28" s="2351"/>
    </row>
    <row r="29" spans="1:18" ht="11.25" customHeight="1" x14ac:dyDescent="0.25">
      <c r="A29" s="128" t="s">
        <v>501</v>
      </c>
      <c r="B29" s="60"/>
      <c r="C29" s="2347"/>
      <c r="D29" s="2347"/>
      <c r="E29" s="2347"/>
      <c r="F29" s="2347"/>
      <c r="G29" s="2347"/>
      <c r="H29" s="2347"/>
      <c r="I29" s="2347"/>
      <c r="J29" s="2347"/>
      <c r="K29" s="2347"/>
      <c r="L29" s="2347"/>
      <c r="M29" s="2347"/>
      <c r="N29" s="2347"/>
      <c r="O29" s="2347"/>
      <c r="P29" s="2347"/>
      <c r="Q29" s="2347"/>
      <c r="R29" s="2351"/>
    </row>
    <row r="30" spans="1:18" ht="11.25" customHeight="1" x14ac:dyDescent="0.25">
      <c r="A30" s="128" t="s">
        <v>502</v>
      </c>
      <c r="B30" s="60"/>
      <c r="C30" s="2347"/>
      <c r="D30" s="2347"/>
      <c r="E30" s="2347"/>
      <c r="F30" s="2347"/>
      <c r="G30" s="2347"/>
      <c r="H30" s="2347"/>
      <c r="I30" s="2347"/>
      <c r="J30" s="2347"/>
      <c r="K30" s="2347"/>
      <c r="L30" s="2347"/>
      <c r="M30" s="2347"/>
      <c r="N30" s="2347"/>
      <c r="O30" s="2347"/>
      <c r="P30" s="2347"/>
      <c r="Q30" s="2347"/>
      <c r="R30" s="2351"/>
    </row>
    <row r="31" spans="1:18" ht="11.25" customHeight="1" x14ac:dyDescent="0.25">
      <c r="A31" s="128" t="s">
        <v>503</v>
      </c>
      <c r="B31" s="516">
        <v>2</v>
      </c>
      <c r="C31" s="2347"/>
      <c r="D31" s="2347"/>
      <c r="E31" s="2347"/>
      <c r="F31" s="2347"/>
      <c r="G31" s="2347"/>
      <c r="H31" s="2347"/>
      <c r="I31" s="2347"/>
      <c r="J31" s="2347"/>
      <c r="K31" s="2347"/>
      <c r="L31" s="2347"/>
      <c r="M31" s="2347"/>
      <c r="N31" s="2347"/>
      <c r="O31" s="2347"/>
      <c r="P31" s="2347"/>
      <c r="Q31" s="2347"/>
      <c r="R31" s="2351"/>
    </row>
    <row r="32" spans="1:18" ht="11.25" customHeight="1" x14ac:dyDescent="0.25">
      <c r="A32" s="143" t="s">
        <v>1471</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1392</v>
      </c>
      <c r="B33" s="60">
        <v>6</v>
      </c>
      <c r="C33" s="2353"/>
      <c r="D33" s="2353"/>
      <c r="E33" s="2353"/>
      <c r="F33" s="2353"/>
      <c r="G33" s="2353"/>
      <c r="H33" s="2353"/>
      <c r="I33" s="2353"/>
      <c r="J33" s="2353"/>
      <c r="K33" s="2353"/>
      <c r="L33" s="2353"/>
      <c r="M33" s="2353"/>
      <c r="N33" s="2353"/>
      <c r="O33" s="2353"/>
      <c r="P33" s="2353"/>
      <c r="Q33" s="2353"/>
      <c r="R33" s="2356"/>
    </row>
    <row r="34" spans="1:19" ht="11.25" customHeight="1" x14ac:dyDescent="0.25">
      <c r="A34" s="128" t="s">
        <v>1393</v>
      </c>
      <c r="B34" s="60">
        <v>6</v>
      </c>
      <c r="C34" s="2353"/>
      <c r="D34" s="2353"/>
      <c r="E34" s="2353"/>
      <c r="F34" s="2353"/>
      <c r="G34" s="2353"/>
      <c r="H34" s="2353"/>
      <c r="I34" s="2353"/>
      <c r="J34" s="2353"/>
      <c r="K34" s="2353"/>
      <c r="L34" s="2353"/>
      <c r="M34" s="2353"/>
      <c r="N34" s="2353"/>
      <c r="O34" s="2353"/>
      <c r="P34" s="2353"/>
      <c r="Q34" s="2353"/>
      <c r="R34" s="2356"/>
    </row>
    <row r="35" spans="1:19" ht="11.25" customHeight="1" x14ac:dyDescent="0.25">
      <c r="A35" s="128" t="s">
        <v>1394</v>
      </c>
      <c r="B35" s="60">
        <v>6</v>
      </c>
      <c r="C35" s="2353"/>
      <c r="D35" s="2353"/>
      <c r="E35" s="2353"/>
      <c r="F35" s="2353"/>
      <c r="G35" s="2353"/>
      <c r="H35" s="2353"/>
      <c r="I35" s="2353"/>
      <c r="J35" s="2353"/>
      <c r="K35" s="2353"/>
      <c r="L35" s="2353"/>
      <c r="M35" s="2353"/>
      <c r="N35" s="2353"/>
      <c r="O35" s="2353"/>
      <c r="P35" s="2353"/>
      <c r="Q35" s="2353"/>
      <c r="R35" s="2356"/>
    </row>
    <row r="36" spans="1:19" ht="11.25" customHeight="1" x14ac:dyDescent="0.25">
      <c r="A36" s="128" t="s">
        <v>1395</v>
      </c>
      <c r="B36" s="60">
        <v>6</v>
      </c>
      <c r="C36" s="2358"/>
      <c r="D36" s="2358"/>
      <c r="E36" s="2358"/>
      <c r="F36" s="2358"/>
      <c r="G36" s="2358"/>
      <c r="H36" s="2358"/>
      <c r="I36" s="2358"/>
      <c r="J36" s="2358"/>
      <c r="K36" s="2358"/>
      <c r="L36" s="2358"/>
      <c r="M36" s="2358"/>
      <c r="N36" s="2358"/>
      <c r="O36" s="2358"/>
      <c r="P36" s="2358"/>
      <c r="Q36" s="2358"/>
      <c r="R36" s="2396"/>
    </row>
    <row r="37" spans="1:19" ht="15.75" customHeight="1" x14ac:dyDescent="0.25">
      <c r="A37" s="519" t="s">
        <v>1472</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97"/>
      <c r="D38" s="2397"/>
      <c r="E38" s="2397"/>
      <c r="F38" s="2397"/>
      <c r="G38" s="2397"/>
      <c r="H38" s="2397"/>
      <c r="I38" s="2397"/>
      <c r="J38" s="2397"/>
      <c r="K38" s="2397"/>
      <c r="L38" s="2397"/>
      <c r="M38" s="2397"/>
      <c r="N38" s="2397"/>
      <c r="O38" s="2397"/>
      <c r="P38" s="2397"/>
      <c r="Q38" s="2397"/>
      <c r="R38" s="2398"/>
      <c r="S38" s="247"/>
    </row>
    <row r="39" spans="1:19" ht="11.25" customHeight="1" x14ac:dyDescent="0.25">
      <c r="A39" s="132" t="s">
        <v>1396</v>
      </c>
      <c r="B39" s="523"/>
      <c r="C39" s="2088"/>
      <c r="D39" s="2088"/>
      <c r="E39" s="2088"/>
      <c r="F39" s="2088"/>
      <c r="G39" s="2088"/>
      <c r="H39" s="2088"/>
      <c r="I39" s="2088"/>
      <c r="J39" s="2088"/>
      <c r="K39" s="2088"/>
      <c r="L39" s="2088"/>
      <c r="M39" s="2088"/>
      <c r="N39" s="2088"/>
      <c r="O39" s="2088"/>
      <c r="P39" s="2088"/>
      <c r="Q39" s="2088"/>
      <c r="R39" s="2091"/>
      <c r="S39" s="524">
        <f>SUM(C39:R39)</f>
        <v>0</v>
      </c>
    </row>
    <row r="40" spans="1:19" ht="11.25" customHeight="1" x14ac:dyDescent="0.25">
      <c r="A40" s="132" t="s">
        <v>1397</v>
      </c>
      <c r="B40" s="523"/>
      <c r="C40" s="2088"/>
      <c r="D40" s="2088"/>
      <c r="E40" s="2088"/>
      <c r="F40" s="2088"/>
      <c r="G40" s="2088"/>
      <c r="H40" s="2088"/>
      <c r="I40" s="2088"/>
      <c r="J40" s="2088"/>
      <c r="K40" s="2088"/>
      <c r="L40" s="2088"/>
      <c r="M40" s="2088"/>
      <c r="N40" s="2088"/>
      <c r="O40" s="2088"/>
      <c r="P40" s="2088"/>
      <c r="Q40" s="2088"/>
      <c r="R40" s="2091"/>
      <c r="S40" s="524">
        <f>SUM(C40:R40)</f>
        <v>0</v>
      </c>
    </row>
    <row r="41" spans="1:19" ht="11.25" customHeight="1" x14ac:dyDescent="0.25">
      <c r="A41" s="132" t="s">
        <v>1511</v>
      </c>
      <c r="B41" s="523">
        <v>4</v>
      </c>
      <c r="C41" s="2372"/>
      <c r="D41" s="2372"/>
      <c r="E41" s="2372"/>
      <c r="F41" s="2372"/>
      <c r="G41" s="2372"/>
      <c r="H41" s="2372"/>
      <c r="I41" s="2372"/>
      <c r="J41" s="2372"/>
      <c r="K41" s="2372"/>
      <c r="L41" s="2372"/>
      <c r="M41" s="2372"/>
      <c r="N41" s="2372"/>
      <c r="O41" s="2372"/>
      <c r="P41" s="2372"/>
      <c r="Q41" s="2372"/>
      <c r="R41" s="2375"/>
    </row>
    <row r="42" spans="1:19" ht="11.25" customHeight="1" x14ac:dyDescent="0.25">
      <c r="A42" s="132" t="s">
        <v>1433</v>
      </c>
      <c r="B42" s="523"/>
      <c r="C42" s="2110"/>
      <c r="D42" s="2110"/>
      <c r="E42" s="2110"/>
      <c r="F42" s="2110"/>
      <c r="G42" s="2110"/>
      <c r="H42" s="2110"/>
      <c r="I42" s="2110"/>
      <c r="J42" s="2110"/>
      <c r="K42" s="2110"/>
      <c r="L42" s="2110"/>
      <c r="M42" s="2110"/>
      <c r="N42" s="2110"/>
      <c r="O42" s="2110"/>
      <c r="P42" s="2110"/>
      <c r="Q42" s="2110"/>
      <c r="R42" s="2111"/>
      <c r="S42" s="247"/>
    </row>
    <row r="43" spans="1:19" ht="15.75" customHeight="1" x14ac:dyDescent="0.25">
      <c r="A43" s="132" t="s">
        <v>395</v>
      </c>
      <c r="B43" s="523"/>
      <c r="C43" s="2399"/>
      <c r="D43" s="2399"/>
      <c r="E43" s="2399"/>
      <c r="F43" s="2399"/>
      <c r="G43" s="2399"/>
      <c r="H43" s="2399"/>
      <c r="I43" s="2399"/>
      <c r="J43" s="2399"/>
      <c r="K43" s="2399"/>
      <c r="L43" s="2399"/>
      <c r="M43" s="2399"/>
      <c r="N43" s="2399"/>
      <c r="O43" s="2399"/>
      <c r="P43" s="2399"/>
      <c r="Q43" s="2399"/>
      <c r="R43" s="2400"/>
      <c r="S43" s="247"/>
    </row>
    <row r="44" spans="1:19" ht="11.25" customHeight="1" x14ac:dyDescent="0.25">
      <c r="A44" s="132" t="s">
        <v>494</v>
      </c>
      <c r="B44" s="523"/>
      <c r="C44" s="2110"/>
      <c r="D44" s="2110"/>
      <c r="E44" s="2110"/>
      <c r="F44" s="2110"/>
      <c r="G44" s="2110"/>
      <c r="H44" s="2110"/>
      <c r="I44" s="2110"/>
      <c r="J44" s="2110"/>
      <c r="K44" s="2110"/>
      <c r="L44" s="2110"/>
      <c r="M44" s="2110"/>
      <c r="N44" s="2110"/>
      <c r="O44" s="2110"/>
      <c r="P44" s="2110"/>
      <c r="Q44" s="2110"/>
      <c r="R44" s="2111"/>
      <c r="S44" s="247"/>
    </row>
    <row r="45" spans="1:19" ht="11.25" customHeight="1" x14ac:dyDescent="0.25">
      <c r="A45" s="132" t="s">
        <v>495</v>
      </c>
      <c r="B45" s="523"/>
      <c r="C45" s="2110"/>
      <c r="D45" s="2110"/>
      <c r="E45" s="2110"/>
      <c r="F45" s="2110"/>
      <c r="G45" s="2110"/>
      <c r="H45" s="2110"/>
      <c r="I45" s="2110"/>
      <c r="J45" s="2110"/>
      <c r="K45" s="2110"/>
      <c r="L45" s="2110"/>
      <c r="M45" s="2110"/>
      <c r="N45" s="2110"/>
      <c r="O45" s="2110"/>
      <c r="P45" s="2110"/>
      <c r="Q45" s="2110"/>
      <c r="R45" s="2111"/>
      <c r="S45" s="247"/>
    </row>
    <row r="46" spans="1:19" ht="11.25" customHeight="1" x14ac:dyDescent="0.25">
      <c r="A46" s="132" t="s">
        <v>496</v>
      </c>
      <c r="B46" s="523"/>
      <c r="C46" s="2110"/>
      <c r="D46" s="2110"/>
      <c r="E46" s="2110"/>
      <c r="F46" s="2110"/>
      <c r="G46" s="2110"/>
      <c r="H46" s="2110"/>
      <c r="I46" s="2110"/>
      <c r="J46" s="2110"/>
      <c r="K46" s="2110"/>
      <c r="L46" s="2110"/>
      <c r="M46" s="2110"/>
      <c r="N46" s="2110"/>
      <c r="O46" s="2110"/>
      <c r="P46" s="2110"/>
      <c r="Q46" s="2110"/>
      <c r="R46" s="2111"/>
      <c r="S46" s="247"/>
    </row>
    <row r="47" spans="1:19" ht="11.25" customHeight="1" x14ac:dyDescent="0.25">
      <c r="A47" s="132" t="s">
        <v>1432</v>
      </c>
      <c r="B47" s="523"/>
      <c r="C47" s="2110"/>
      <c r="D47" s="2110"/>
      <c r="E47" s="2110"/>
      <c r="F47" s="2110"/>
      <c r="G47" s="2110"/>
      <c r="H47" s="2110"/>
      <c r="I47" s="2110"/>
      <c r="J47" s="2110"/>
      <c r="K47" s="2110"/>
      <c r="L47" s="2110"/>
      <c r="M47" s="2110"/>
      <c r="N47" s="2110"/>
      <c r="O47" s="2110"/>
      <c r="P47" s="2110"/>
      <c r="Q47" s="2110"/>
      <c r="R47" s="2111"/>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1529</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1531</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42" activePane="bottomRight" state="frozen"/>
      <selection pane="topRight"/>
      <selection pane="bottomLeft"/>
      <selection pane="bottomRight" activeCell="K17" sqref="K1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LIM471 Ephraim Mogale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1025</v>
      </c>
      <c r="D2" s="396" t="s">
        <v>1026</v>
      </c>
      <c r="E2" s="396" t="s">
        <v>1027</v>
      </c>
      <c r="F2" s="396" t="s">
        <v>1028</v>
      </c>
      <c r="G2" s="396" t="s">
        <v>1398</v>
      </c>
      <c r="H2" s="396" t="s">
        <v>1473</v>
      </c>
      <c r="I2" s="396" t="s">
        <v>1399</v>
      </c>
      <c r="J2" s="396" t="s">
        <v>1029</v>
      </c>
      <c r="K2" s="396" t="s">
        <v>391</v>
      </c>
      <c r="L2" s="396" t="s">
        <v>1030</v>
      </c>
      <c r="M2" s="396" t="s">
        <v>392</v>
      </c>
      <c r="N2" s="396" t="s">
        <v>1474</v>
      </c>
      <c r="O2" s="396" t="s">
        <v>1031</v>
      </c>
      <c r="P2" s="396" t="s">
        <v>393</v>
      </c>
      <c r="Q2" s="396" t="s">
        <v>1475</v>
      </c>
      <c r="R2" s="513" t="s">
        <v>1476</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5">
        <v>6619</v>
      </c>
      <c r="D5" s="2135">
        <v>8</v>
      </c>
      <c r="E5" s="2135">
        <v>262</v>
      </c>
      <c r="F5" s="2135">
        <v>1889</v>
      </c>
      <c r="G5" s="2135">
        <v>1512</v>
      </c>
      <c r="H5" s="2135">
        <v>814</v>
      </c>
      <c r="I5" s="2135">
        <v>5</v>
      </c>
      <c r="J5" s="2135"/>
      <c r="K5" s="2135">
        <v>606</v>
      </c>
      <c r="L5" s="2135"/>
      <c r="M5" s="2135"/>
      <c r="N5" s="2135"/>
      <c r="O5" s="2135"/>
      <c r="P5" s="2135"/>
      <c r="Q5" s="2135"/>
      <c r="R5" s="2393"/>
    </row>
    <row r="6" spans="1:18" ht="11.25" customHeight="1" x14ac:dyDescent="0.25">
      <c r="A6" s="128" t="s">
        <v>1341</v>
      </c>
      <c r="B6" s="60"/>
      <c r="C6" s="2135"/>
      <c r="D6" s="2135"/>
      <c r="E6" s="2135"/>
      <c r="F6" s="2135"/>
      <c r="G6" s="2135"/>
      <c r="H6" s="2135"/>
      <c r="I6" s="2135"/>
      <c r="J6" s="2135"/>
      <c r="K6" s="2135"/>
      <c r="L6" s="2135"/>
      <c r="M6" s="2135"/>
      <c r="N6" s="2135"/>
      <c r="O6" s="2135"/>
      <c r="P6" s="2135"/>
      <c r="Q6" s="2135"/>
      <c r="R6" s="2393"/>
    </row>
    <row r="7" spans="1:18" ht="11.25" customHeight="1" x14ac:dyDescent="0.25">
      <c r="A7" s="128" t="s">
        <v>390</v>
      </c>
      <c r="B7" s="60"/>
      <c r="C7" s="2135"/>
      <c r="D7" s="2135"/>
      <c r="E7" s="2135"/>
      <c r="F7" s="2135"/>
      <c r="G7" s="2135"/>
      <c r="H7" s="2135"/>
      <c r="I7" s="2135"/>
      <c r="J7" s="2135"/>
      <c r="K7" s="2135"/>
      <c r="L7" s="2135"/>
      <c r="M7" s="2135"/>
      <c r="N7" s="2135"/>
      <c r="O7" s="2135"/>
      <c r="P7" s="2135"/>
      <c r="Q7" s="2135"/>
      <c r="R7" s="2393"/>
    </row>
    <row r="8" spans="1:18" ht="11.25" customHeight="1" x14ac:dyDescent="0.25">
      <c r="A8" s="128" t="s">
        <v>703</v>
      </c>
      <c r="B8" s="60"/>
      <c r="C8" s="2135"/>
      <c r="D8" s="2135"/>
      <c r="E8" s="2135"/>
      <c r="F8" s="2135"/>
      <c r="G8" s="2135"/>
      <c r="H8" s="2135"/>
      <c r="I8" s="2135"/>
      <c r="J8" s="2135"/>
      <c r="K8" s="2135"/>
      <c r="L8" s="2135"/>
      <c r="M8" s="2135"/>
      <c r="N8" s="2135"/>
      <c r="O8" s="2135"/>
      <c r="P8" s="2135"/>
      <c r="Q8" s="2135"/>
      <c r="R8" s="2393"/>
    </row>
    <row r="9" spans="1:18" ht="11.25" customHeight="1" x14ac:dyDescent="0.25">
      <c r="A9" s="128" t="s">
        <v>1342</v>
      </c>
      <c r="B9" s="60"/>
      <c r="C9" s="2135"/>
      <c r="D9" s="2135"/>
      <c r="E9" s="2135"/>
      <c r="F9" s="2135"/>
      <c r="G9" s="2135"/>
      <c r="H9" s="2135"/>
      <c r="I9" s="2135"/>
      <c r="J9" s="2135"/>
      <c r="K9" s="2135"/>
      <c r="L9" s="2135"/>
      <c r="M9" s="2135"/>
      <c r="N9" s="2135"/>
      <c r="O9" s="2135"/>
      <c r="P9" s="2135"/>
      <c r="Q9" s="2135"/>
      <c r="R9" s="2393"/>
    </row>
    <row r="10" spans="1:18" ht="11.25" customHeight="1" x14ac:dyDescent="0.25">
      <c r="A10" s="128" t="s">
        <v>704</v>
      </c>
      <c r="B10" s="60"/>
      <c r="C10" s="2135"/>
      <c r="D10" s="2135"/>
      <c r="E10" s="2135"/>
      <c r="F10" s="2135"/>
      <c r="G10" s="2135"/>
      <c r="H10" s="2135"/>
      <c r="I10" s="2135"/>
      <c r="J10" s="2135"/>
      <c r="K10" s="2135"/>
      <c r="L10" s="2135"/>
      <c r="M10" s="2135"/>
      <c r="N10" s="2135"/>
      <c r="O10" s="2135"/>
      <c r="P10" s="2135"/>
      <c r="Q10" s="2135"/>
      <c r="R10" s="2393"/>
    </row>
    <row r="11" spans="1:18" ht="11.25" customHeight="1" x14ac:dyDescent="0.25">
      <c r="A11" s="128" t="s">
        <v>350</v>
      </c>
      <c r="B11" s="60"/>
      <c r="C11" s="2135"/>
      <c r="D11" s="2135"/>
      <c r="E11" s="2135"/>
      <c r="F11" s="2135"/>
      <c r="G11" s="2135"/>
      <c r="H11" s="2135"/>
      <c r="I11" s="2135"/>
      <c r="J11" s="2135"/>
      <c r="K11" s="2135"/>
      <c r="L11" s="2135"/>
      <c r="M11" s="2135"/>
      <c r="N11" s="2135"/>
      <c r="O11" s="2135"/>
      <c r="P11" s="2135"/>
      <c r="Q11" s="2135"/>
      <c r="R11" s="2393"/>
    </row>
    <row r="12" spans="1:18" ht="11.25" customHeight="1" x14ac:dyDescent="0.25">
      <c r="A12" s="128" t="s">
        <v>351</v>
      </c>
      <c r="B12" s="60"/>
      <c r="C12" s="2135"/>
      <c r="D12" s="2135"/>
      <c r="E12" s="2135"/>
      <c r="F12" s="2135"/>
      <c r="G12" s="2135"/>
      <c r="H12" s="2135"/>
      <c r="I12" s="2135"/>
      <c r="J12" s="2135"/>
      <c r="K12" s="2135"/>
      <c r="L12" s="2135"/>
      <c r="M12" s="2135"/>
      <c r="N12" s="2135"/>
      <c r="O12" s="2135"/>
      <c r="P12" s="2135"/>
      <c r="Q12" s="2135"/>
      <c r="R12" s="2393"/>
    </row>
    <row r="13" spans="1:18" ht="11.25" customHeight="1" x14ac:dyDescent="0.25">
      <c r="A13" s="128" t="s">
        <v>352</v>
      </c>
      <c r="B13" s="60"/>
      <c r="C13" s="2135"/>
      <c r="D13" s="2135"/>
      <c r="E13" s="2135"/>
      <c r="F13" s="2135"/>
      <c r="G13" s="2135"/>
      <c r="H13" s="2135"/>
      <c r="I13" s="2135"/>
      <c r="J13" s="2135"/>
      <c r="K13" s="2135"/>
      <c r="L13" s="2135"/>
      <c r="M13" s="2135"/>
      <c r="N13" s="2135"/>
      <c r="O13" s="2135"/>
      <c r="P13" s="2135"/>
      <c r="Q13" s="2135"/>
      <c r="R13" s="2393"/>
    </row>
    <row r="14" spans="1:18" ht="11.25" customHeight="1" x14ac:dyDescent="0.25">
      <c r="A14" s="128" t="s">
        <v>714</v>
      </c>
      <c r="B14" s="60">
        <v>5</v>
      </c>
      <c r="C14" s="2135"/>
      <c r="D14" s="2135"/>
      <c r="E14" s="2135"/>
      <c r="F14" s="2135"/>
      <c r="G14" s="2135"/>
      <c r="H14" s="2135"/>
      <c r="I14" s="2135"/>
      <c r="J14" s="2135"/>
      <c r="K14" s="2135"/>
      <c r="L14" s="2135"/>
      <c r="M14" s="2135"/>
      <c r="N14" s="2135"/>
      <c r="O14" s="2135"/>
      <c r="P14" s="2135"/>
      <c r="Q14" s="2135"/>
      <c r="R14" s="2393"/>
    </row>
    <row r="15" spans="1:18" ht="11.25" customHeight="1" x14ac:dyDescent="0.25">
      <c r="A15" s="128" t="s">
        <v>702</v>
      </c>
      <c r="B15" s="60">
        <v>5</v>
      </c>
      <c r="C15" s="2135"/>
      <c r="D15" s="2135"/>
      <c r="E15" s="2135"/>
      <c r="F15" s="2135"/>
      <c r="G15" s="2135"/>
      <c r="H15" s="2135"/>
      <c r="I15" s="2135"/>
      <c r="J15" s="2135"/>
      <c r="K15" s="2135"/>
      <c r="L15" s="2135"/>
      <c r="M15" s="2135"/>
      <c r="N15" s="2135"/>
      <c r="O15" s="2135"/>
      <c r="P15" s="2135"/>
      <c r="Q15" s="2135"/>
      <c r="R15" s="2393"/>
    </row>
    <row r="16" spans="1:18" ht="11.25" customHeight="1" x14ac:dyDescent="0.25">
      <c r="A16" s="132" t="s">
        <v>1343</v>
      </c>
      <c r="B16" s="228"/>
      <c r="C16" s="1458"/>
      <c r="D16" s="1458"/>
      <c r="E16" s="1458"/>
      <c r="F16" s="1458"/>
      <c r="G16" s="1458"/>
      <c r="H16" s="1458"/>
      <c r="I16" s="2142"/>
      <c r="J16" s="1458"/>
      <c r="K16" s="1458"/>
      <c r="L16" s="1458"/>
      <c r="M16" s="1458"/>
      <c r="N16" s="1458"/>
      <c r="O16" s="1458"/>
      <c r="P16" s="1458"/>
      <c r="Q16" s="1458"/>
      <c r="R16" s="2133"/>
    </row>
    <row r="17" spans="1:18" ht="11.25" customHeight="1" x14ac:dyDescent="0.25">
      <c r="A17" s="128" t="s">
        <v>1596</v>
      </c>
      <c r="B17" s="60"/>
      <c r="C17" s="2326">
        <v>4</v>
      </c>
      <c r="D17" s="2326">
        <v>4</v>
      </c>
      <c r="E17" s="2326">
        <v>4</v>
      </c>
      <c r="F17" s="2326">
        <v>4</v>
      </c>
      <c r="G17" s="2326">
        <v>4</v>
      </c>
      <c r="H17" s="2326">
        <v>4</v>
      </c>
      <c r="I17" s="2326">
        <v>4</v>
      </c>
      <c r="J17" s="2326"/>
      <c r="K17" s="2326">
        <v>4</v>
      </c>
      <c r="L17" s="2326"/>
      <c r="M17" s="2326"/>
      <c r="N17" s="2326"/>
      <c r="O17" s="2326"/>
      <c r="P17" s="2326"/>
      <c r="Q17" s="2326"/>
      <c r="R17" s="2327"/>
    </row>
    <row r="18" spans="1:18" ht="11.25" customHeight="1" x14ac:dyDescent="0.25">
      <c r="A18" s="128" t="s">
        <v>1597</v>
      </c>
      <c r="B18" s="60"/>
      <c r="C18" s="2326">
        <v>5</v>
      </c>
      <c r="D18" s="2394">
        <v>5</v>
      </c>
      <c r="E18" s="2394">
        <v>5</v>
      </c>
      <c r="F18" s="2394">
        <v>5</v>
      </c>
      <c r="G18" s="2394">
        <v>5</v>
      </c>
      <c r="H18" s="2394">
        <v>5</v>
      </c>
      <c r="I18" s="2394">
        <v>5</v>
      </c>
      <c r="J18" s="2394"/>
      <c r="K18" s="2394">
        <v>5</v>
      </c>
      <c r="L18" s="2394"/>
      <c r="M18" s="2394"/>
      <c r="N18" s="2394"/>
      <c r="O18" s="2394"/>
      <c r="P18" s="2394"/>
      <c r="Q18" s="2394"/>
      <c r="R18" s="2395"/>
    </row>
    <row r="19" spans="1:18" ht="11.25" customHeight="1" x14ac:dyDescent="0.25">
      <c r="A19" s="128" t="s">
        <v>1598</v>
      </c>
      <c r="B19" s="60"/>
      <c r="C19" s="2326" t="s">
        <v>160</v>
      </c>
      <c r="D19" s="2326" t="s">
        <v>160</v>
      </c>
      <c r="E19" s="2326" t="s">
        <v>160</v>
      </c>
      <c r="F19" s="2326" t="s">
        <v>160</v>
      </c>
      <c r="G19" s="2326" t="s">
        <v>160</v>
      </c>
      <c r="H19" s="2326" t="s">
        <v>160</v>
      </c>
      <c r="I19" s="2326" t="s">
        <v>160</v>
      </c>
      <c r="J19" s="2326"/>
      <c r="K19" s="2326" t="s">
        <v>160</v>
      </c>
      <c r="L19" s="2326"/>
      <c r="M19" s="2326"/>
      <c r="N19" s="2326"/>
      <c r="O19" s="2326"/>
      <c r="P19" s="2326"/>
      <c r="Q19" s="2326"/>
      <c r="R19" s="2327"/>
    </row>
    <row r="20" spans="1:18" ht="11.25" customHeight="1" x14ac:dyDescent="0.25">
      <c r="A20" s="128" t="s">
        <v>1599</v>
      </c>
      <c r="B20" s="60"/>
      <c r="C20" s="2326" t="s">
        <v>164</v>
      </c>
      <c r="D20" s="2326" t="s">
        <v>164</v>
      </c>
      <c r="E20" s="2326" t="s">
        <v>164</v>
      </c>
      <c r="F20" s="2326" t="s">
        <v>164</v>
      </c>
      <c r="G20" s="2326" t="s">
        <v>164</v>
      </c>
      <c r="H20" s="2326" t="s">
        <v>164</v>
      </c>
      <c r="I20" s="2326" t="s">
        <v>164</v>
      </c>
      <c r="J20" s="2326"/>
      <c r="K20" s="2326" t="s">
        <v>164</v>
      </c>
      <c r="L20" s="2326"/>
      <c r="M20" s="2326"/>
      <c r="N20" s="2326"/>
      <c r="O20" s="2326"/>
      <c r="P20" s="2326"/>
      <c r="Q20" s="2326"/>
      <c r="R20" s="2327"/>
    </row>
    <row r="21" spans="1:18" ht="11.25" customHeight="1" x14ac:dyDescent="0.25">
      <c r="A21" s="128" t="s">
        <v>163</v>
      </c>
      <c r="B21" s="60"/>
      <c r="C21" s="2326"/>
      <c r="D21" s="2326"/>
      <c r="E21" s="2326"/>
      <c r="F21" s="2326"/>
      <c r="G21" s="2326"/>
      <c r="H21" s="2326"/>
      <c r="I21" s="2326"/>
      <c r="J21" s="2326"/>
      <c r="K21" s="2326"/>
      <c r="L21" s="2326"/>
      <c r="M21" s="2326"/>
      <c r="N21" s="2326"/>
      <c r="O21" s="2326"/>
      <c r="P21" s="2326"/>
      <c r="Q21" s="2326"/>
      <c r="R21" s="2327"/>
    </row>
    <row r="22" spans="1:18" ht="11.25" customHeight="1" x14ac:dyDescent="0.25">
      <c r="A22" s="128" t="s">
        <v>635</v>
      </c>
      <c r="B22" s="516"/>
      <c r="C22" s="2326"/>
      <c r="D22" s="2326"/>
      <c r="E22" s="2326"/>
      <c r="F22" s="2326"/>
      <c r="G22" s="2326"/>
      <c r="H22" s="2326"/>
      <c r="I22" s="2326"/>
      <c r="J22" s="2326"/>
      <c r="K22" s="2326"/>
      <c r="L22" s="2326"/>
      <c r="M22" s="2326"/>
      <c r="N22" s="2326"/>
      <c r="O22" s="2326"/>
      <c r="P22" s="2326"/>
      <c r="Q22" s="2326"/>
      <c r="R22" s="2327"/>
    </row>
    <row r="23" spans="1:18" ht="11.25" customHeight="1" x14ac:dyDescent="0.25">
      <c r="A23" s="128" t="s">
        <v>636</v>
      </c>
      <c r="B23" s="516"/>
      <c r="C23" s="2326"/>
      <c r="D23" s="2326"/>
      <c r="E23" s="2326"/>
      <c r="F23" s="2326"/>
      <c r="G23" s="2326"/>
      <c r="H23" s="2326"/>
      <c r="I23" s="2326"/>
      <c r="J23" s="2326"/>
      <c r="K23" s="2326"/>
      <c r="L23" s="2326"/>
      <c r="M23" s="2326"/>
      <c r="N23" s="2326"/>
      <c r="O23" s="2326"/>
      <c r="P23" s="2326"/>
      <c r="Q23" s="2326"/>
      <c r="R23" s="2327"/>
    </row>
    <row r="24" spans="1:18" ht="11.25" customHeight="1" x14ac:dyDescent="0.25">
      <c r="A24" s="128" t="s">
        <v>296</v>
      </c>
      <c r="B24" s="516"/>
      <c r="C24" s="2326"/>
      <c r="D24" s="2326"/>
      <c r="E24" s="2326"/>
      <c r="F24" s="2326"/>
      <c r="G24" s="2326"/>
      <c r="H24" s="2326"/>
      <c r="I24" s="2326"/>
      <c r="J24" s="2326"/>
      <c r="K24" s="2326"/>
      <c r="L24" s="2326"/>
      <c r="M24" s="2326"/>
      <c r="N24" s="2326"/>
      <c r="O24" s="2326"/>
      <c r="P24" s="2326"/>
      <c r="Q24" s="2326"/>
      <c r="R24" s="2327"/>
    </row>
    <row r="25" spans="1:18" ht="11.25" customHeight="1" x14ac:dyDescent="0.25">
      <c r="A25" s="127" t="s">
        <v>1470</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47"/>
      <c r="D26" s="2347"/>
      <c r="E26" s="2347"/>
      <c r="F26" s="2347"/>
      <c r="G26" s="2347"/>
      <c r="H26" s="2347"/>
      <c r="I26" s="2347"/>
      <c r="J26" s="2347"/>
      <c r="K26" s="2347"/>
      <c r="L26" s="2347"/>
      <c r="M26" s="2347"/>
      <c r="N26" s="2347"/>
      <c r="O26" s="2347"/>
      <c r="P26" s="2347"/>
      <c r="Q26" s="2347"/>
      <c r="R26" s="2351"/>
    </row>
    <row r="27" spans="1:18" ht="11.25" customHeight="1" x14ac:dyDescent="0.25">
      <c r="A27" s="128" t="s">
        <v>499</v>
      </c>
      <c r="B27" s="60"/>
      <c r="C27" s="2347"/>
      <c r="D27" s="2347"/>
      <c r="E27" s="2347"/>
      <c r="F27" s="2347"/>
      <c r="G27" s="2347"/>
      <c r="H27" s="2347"/>
      <c r="I27" s="2347"/>
      <c r="J27" s="2347"/>
      <c r="K27" s="2347"/>
      <c r="L27" s="2347"/>
      <c r="M27" s="2347"/>
      <c r="N27" s="2347"/>
      <c r="O27" s="2347"/>
      <c r="P27" s="2347"/>
      <c r="Q27" s="2347"/>
      <c r="R27" s="2351"/>
    </row>
    <row r="28" spans="1:18" ht="11.25" customHeight="1" x14ac:dyDescent="0.25">
      <c r="A28" s="128" t="s">
        <v>500</v>
      </c>
      <c r="B28" s="60"/>
      <c r="C28" s="2347"/>
      <c r="D28" s="2347"/>
      <c r="E28" s="2347"/>
      <c r="F28" s="2347"/>
      <c r="G28" s="2347"/>
      <c r="H28" s="2347"/>
      <c r="I28" s="2347"/>
      <c r="J28" s="2347"/>
      <c r="K28" s="2347"/>
      <c r="L28" s="2347"/>
      <c r="M28" s="2347"/>
      <c r="N28" s="2347"/>
      <c r="O28" s="2347"/>
      <c r="P28" s="2347"/>
      <c r="Q28" s="2347"/>
      <c r="R28" s="2351"/>
    </row>
    <row r="29" spans="1:18" ht="11.25" customHeight="1" x14ac:dyDescent="0.25">
      <c r="A29" s="128" t="s">
        <v>501</v>
      </c>
      <c r="B29" s="60"/>
      <c r="C29" s="2347"/>
      <c r="D29" s="2347"/>
      <c r="E29" s="2347"/>
      <c r="F29" s="2347"/>
      <c r="G29" s="2347"/>
      <c r="H29" s="2347"/>
      <c r="I29" s="2347"/>
      <c r="J29" s="2347"/>
      <c r="K29" s="2347"/>
      <c r="L29" s="2347"/>
      <c r="M29" s="2347"/>
      <c r="N29" s="2347"/>
      <c r="O29" s="2347"/>
      <c r="P29" s="2347"/>
      <c r="Q29" s="2347"/>
      <c r="R29" s="2351"/>
    </row>
    <row r="30" spans="1:18" ht="11.25" customHeight="1" x14ac:dyDescent="0.25">
      <c r="A30" s="128" t="s">
        <v>502</v>
      </c>
      <c r="B30" s="60"/>
      <c r="C30" s="2347"/>
      <c r="D30" s="2347"/>
      <c r="E30" s="2347"/>
      <c r="F30" s="2347"/>
      <c r="G30" s="2347"/>
      <c r="H30" s="2347"/>
      <c r="I30" s="2347"/>
      <c r="J30" s="2347"/>
      <c r="K30" s="2347"/>
      <c r="L30" s="2347"/>
      <c r="M30" s="2347"/>
      <c r="N30" s="2347"/>
      <c r="O30" s="2347"/>
      <c r="P30" s="2347"/>
      <c r="Q30" s="2347"/>
      <c r="R30" s="2351"/>
    </row>
    <row r="31" spans="1:18" ht="11.25" customHeight="1" x14ac:dyDescent="0.25">
      <c r="A31" s="128" t="s">
        <v>503</v>
      </c>
      <c r="B31" s="516">
        <v>2</v>
      </c>
      <c r="C31" s="2347"/>
      <c r="D31" s="2347"/>
      <c r="E31" s="2347"/>
      <c r="F31" s="2347"/>
      <c r="G31" s="2347"/>
      <c r="H31" s="2347"/>
      <c r="I31" s="2347"/>
      <c r="J31" s="2347"/>
      <c r="K31" s="2347"/>
      <c r="L31" s="2347"/>
      <c r="M31" s="2347"/>
      <c r="N31" s="2347"/>
      <c r="O31" s="2347"/>
      <c r="P31" s="2347"/>
      <c r="Q31" s="2347"/>
      <c r="R31" s="2351"/>
    </row>
    <row r="32" spans="1:18" ht="11.25" customHeight="1" x14ac:dyDescent="0.25">
      <c r="A32" s="143" t="s">
        <v>1471</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1392</v>
      </c>
      <c r="B33" s="60">
        <v>6</v>
      </c>
      <c r="C33" s="2353"/>
      <c r="D33" s="2353"/>
      <c r="E33" s="2353"/>
      <c r="F33" s="2353"/>
      <c r="G33" s="2353"/>
      <c r="H33" s="2353"/>
      <c r="I33" s="2353"/>
      <c r="J33" s="2353"/>
      <c r="K33" s="2353"/>
      <c r="L33" s="2353"/>
      <c r="M33" s="2353"/>
      <c r="N33" s="2353"/>
      <c r="O33" s="2353"/>
      <c r="P33" s="2353"/>
      <c r="Q33" s="2353"/>
      <c r="R33" s="2356"/>
    </row>
    <row r="34" spans="1:19" ht="11.25" customHeight="1" x14ac:dyDescent="0.25">
      <c r="A34" s="128" t="s">
        <v>1393</v>
      </c>
      <c r="B34" s="60">
        <v>6</v>
      </c>
      <c r="C34" s="2353"/>
      <c r="D34" s="2353"/>
      <c r="E34" s="2353"/>
      <c r="F34" s="2353"/>
      <c r="G34" s="2353"/>
      <c r="H34" s="2353"/>
      <c r="I34" s="2353"/>
      <c r="J34" s="2353"/>
      <c r="K34" s="2353"/>
      <c r="L34" s="2353"/>
      <c r="M34" s="2353"/>
      <c r="N34" s="2353"/>
      <c r="O34" s="2353"/>
      <c r="P34" s="2353"/>
      <c r="Q34" s="2353"/>
      <c r="R34" s="2356"/>
    </row>
    <row r="35" spans="1:19" ht="11.25" customHeight="1" x14ac:dyDescent="0.25">
      <c r="A35" s="128" t="s">
        <v>1394</v>
      </c>
      <c r="B35" s="60">
        <v>6</v>
      </c>
      <c r="C35" s="2353"/>
      <c r="D35" s="2353"/>
      <c r="E35" s="2353"/>
      <c r="F35" s="2353"/>
      <c r="G35" s="2353"/>
      <c r="H35" s="2353"/>
      <c r="I35" s="2353"/>
      <c r="J35" s="2353"/>
      <c r="K35" s="2353"/>
      <c r="L35" s="2353"/>
      <c r="M35" s="2353"/>
      <c r="N35" s="2353"/>
      <c r="O35" s="2353"/>
      <c r="P35" s="2353"/>
      <c r="Q35" s="2353"/>
      <c r="R35" s="2356"/>
    </row>
    <row r="36" spans="1:19" ht="11.25" customHeight="1" x14ac:dyDescent="0.25">
      <c r="A36" s="128" t="s">
        <v>1395</v>
      </c>
      <c r="B36" s="1388">
        <v>6</v>
      </c>
      <c r="C36" s="2358"/>
      <c r="D36" s="2358"/>
      <c r="E36" s="2358"/>
      <c r="F36" s="2358"/>
      <c r="G36" s="2358"/>
      <c r="H36" s="2358"/>
      <c r="I36" s="2358"/>
      <c r="J36" s="2358"/>
      <c r="K36" s="2358"/>
      <c r="L36" s="2358"/>
      <c r="M36" s="2358"/>
      <c r="N36" s="2358"/>
      <c r="O36" s="2358"/>
      <c r="P36" s="2358"/>
      <c r="Q36" s="2358"/>
      <c r="R36" s="2396"/>
    </row>
    <row r="37" spans="1:19" ht="15.75" customHeight="1" x14ac:dyDescent="0.25">
      <c r="A37" s="519" t="s">
        <v>1472</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97"/>
      <c r="D38" s="2397"/>
      <c r="E38" s="2397"/>
      <c r="F38" s="2397"/>
      <c r="G38" s="2397"/>
      <c r="H38" s="2397"/>
      <c r="I38" s="2397"/>
      <c r="J38" s="2397"/>
      <c r="K38" s="2397"/>
      <c r="L38" s="2397"/>
      <c r="M38" s="2397"/>
      <c r="N38" s="2397"/>
      <c r="O38" s="2397"/>
      <c r="P38" s="2397"/>
      <c r="Q38" s="2397"/>
      <c r="R38" s="2398"/>
      <c r="S38" s="247"/>
    </row>
    <row r="39" spans="1:19" ht="11.25" customHeight="1" x14ac:dyDescent="0.25">
      <c r="A39" s="132" t="s">
        <v>1396</v>
      </c>
      <c r="B39" s="523"/>
      <c r="C39" s="2088"/>
      <c r="D39" s="2088"/>
      <c r="E39" s="2088"/>
      <c r="F39" s="2088"/>
      <c r="G39" s="2088"/>
      <c r="H39" s="2088"/>
      <c r="I39" s="2088"/>
      <c r="J39" s="2088"/>
      <c r="K39" s="2088"/>
      <c r="L39" s="2088"/>
      <c r="M39" s="2088"/>
      <c r="N39" s="2088"/>
      <c r="O39" s="2088"/>
      <c r="P39" s="2088"/>
      <c r="Q39" s="2088"/>
      <c r="R39" s="2091"/>
      <c r="S39" s="524">
        <f>SUM(C39:R39)</f>
        <v>0</v>
      </c>
    </row>
    <row r="40" spans="1:19" ht="11.25" customHeight="1" x14ac:dyDescent="0.25">
      <c r="A40" s="132" t="s">
        <v>1397</v>
      </c>
      <c r="B40" s="523"/>
      <c r="C40" s="2088"/>
      <c r="D40" s="2088"/>
      <c r="E40" s="2088"/>
      <c r="F40" s="2088"/>
      <c r="G40" s="2088"/>
      <c r="H40" s="2088"/>
      <c r="I40" s="2088"/>
      <c r="J40" s="2088"/>
      <c r="K40" s="2088"/>
      <c r="L40" s="2088"/>
      <c r="M40" s="2088"/>
      <c r="N40" s="2088"/>
      <c r="O40" s="2088"/>
      <c r="P40" s="2088"/>
      <c r="Q40" s="2088"/>
      <c r="R40" s="2091"/>
      <c r="S40" s="524">
        <f>SUM(C40:R40)</f>
        <v>0</v>
      </c>
    </row>
    <row r="41" spans="1:19" ht="11.25" customHeight="1" x14ac:dyDescent="0.25">
      <c r="A41" s="132" t="s">
        <v>1511</v>
      </c>
      <c r="B41" s="523">
        <v>4</v>
      </c>
      <c r="C41" s="2372"/>
      <c r="D41" s="2372"/>
      <c r="E41" s="2372"/>
      <c r="F41" s="2372"/>
      <c r="G41" s="2372"/>
      <c r="H41" s="2372"/>
      <c r="I41" s="2372"/>
      <c r="J41" s="2372"/>
      <c r="K41" s="2372"/>
      <c r="L41" s="2372"/>
      <c r="M41" s="2372"/>
      <c r="N41" s="2372"/>
      <c r="O41" s="2372"/>
      <c r="P41" s="2372"/>
      <c r="Q41" s="2372"/>
      <c r="R41" s="2375"/>
    </row>
    <row r="42" spans="1:19" ht="11.25" customHeight="1" x14ac:dyDescent="0.25">
      <c r="A42" s="132" t="s">
        <v>1433</v>
      </c>
      <c r="B42" s="523"/>
      <c r="C42" s="2110"/>
      <c r="D42" s="2110"/>
      <c r="E42" s="2110"/>
      <c r="F42" s="2110"/>
      <c r="G42" s="2110"/>
      <c r="H42" s="2110"/>
      <c r="I42" s="2110"/>
      <c r="J42" s="2110"/>
      <c r="K42" s="2110"/>
      <c r="L42" s="2110"/>
      <c r="M42" s="2110"/>
      <c r="N42" s="2110"/>
      <c r="O42" s="2110"/>
      <c r="P42" s="2110"/>
      <c r="Q42" s="2110"/>
      <c r="R42" s="2111"/>
      <c r="S42" s="247"/>
    </row>
    <row r="43" spans="1:19" ht="15.75" customHeight="1" x14ac:dyDescent="0.25">
      <c r="A43" s="132" t="s">
        <v>395</v>
      </c>
      <c r="B43" s="523"/>
      <c r="C43" s="2399"/>
      <c r="D43" s="2399"/>
      <c r="E43" s="2399"/>
      <c r="F43" s="2399"/>
      <c r="G43" s="2399"/>
      <c r="H43" s="2399"/>
      <c r="I43" s="2399"/>
      <c r="J43" s="2399"/>
      <c r="K43" s="2399"/>
      <c r="L43" s="2399"/>
      <c r="M43" s="2399"/>
      <c r="N43" s="2399"/>
      <c r="O43" s="2399"/>
      <c r="P43" s="2399"/>
      <c r="Q43" s="2399"/>
      <c r="R43" s="2400"/>
      <c r="S43" s="247"/>
    </row>
    <row r="44" spans="1:19" ht="11.25" customHeight="1" x14ac:dyDescent="0.25">
      <c r="A44" s="132" t="s">
        <v>494</v>
      </c>
      <c r="B44" s="523"/>
      <c r="C44" s="2110"/>
      <c r="D44" s="2110"/>
      <c r="E44" s="2110"/>
      <c r="F44" s="2110"/>
      <c r="G44" s="2110"/>
      <c r="H44" s="2110"/>
      <c r="I44" s="2110"/>
      <c r="J44" s="2110"/>
      <c r="K44" s="2110"/>
      <c r="L44" s="2110"/>
      <c r="M44" s="2110"/>
      <c r="N44" s="2110"/>
      <c r="O44" s="2110"/>
      <c r="P44" s="2110"/>
      <c r="Q44" s="2110"/>
      <c r="R44" s="2111"/>
      <c r="S44" s="247"/>
    </row>
    <row r="45" spans="1:19" ht="11.25" customHeight="1" x14ac:dyDescent="0.25">
      <c r="A45" s="132" t="s">
        <v>495</v>
      </c>
      <c r="B45" s="523"/>
      <c r="C45" s="2110"/>
      <c r="D45" s="2110"/>
      <c r="E45" s="2110"/>
      <c r="F45" s="2110"/>
      <c r="G45" s="2110"/>
      <c r="H45" s="2110"/>
      <c r="I45" s="2110"/>
      <c r="J45" s="2110"/>
      <c r="K45" s="2110"/>
      <c r="L45" s="2110"/>
      <c r="M45" s="2110"/>
      <c r="N45" s="2110"/>
      <c r="O45" s="2110"/>
      <c r="P45" s="2110"/>
      <c r="Q45" s="2110"/>
      <c r="R45" s="2111"/>
      <c r="S45" s="247"/>
    </row>
    <row r="46" spans="1:19" ht="11.25" customHeight="1" x14ac:dyDescent="0.25">
      <c r="A46" s="132" t="s">
        <v>496</v>
      </c>
      <c r="B46" s="523"/>
      <c r="C46" s="2110"/>
      <c r="D46" s="2110"/>
      <c r="E46" s="2110"/>
      <c r="F46" s="2110"/>
      <c r="G46" s="2110"/>
      <c r="H46" s="2110"/>
      <c r="I46" s="2110"/>
      <c r="J46" s="2110"/>
      <c r="K46" s="2110"/>
      <c r="L46" s="2110"/>
      <c r="M46" s="2110"/>
      <c r="N46" s="2110"/>
      <c r="O46" s="2110"/>
      <c r="P46" s="2110"/>
      <c r="Q46" s="2110"/>
      <c r="R46" s="2111"/>
      <c r="S46" s="247"/>
    </row>
    <row r="47" spans="1:19" ht="11.25" customHeight="1" x14ac:dyDescent="0.25">
      <c r="A47" s="132" t="s">
        <v>1432</v>
      </c>
      <c r="B47" s="523"/>
      <c r="C47" s="2110"/>
      <c r="D47" s="2110"/>
      <c r="E47" s="2110"/>
      <c r="F47" s="2110"/>
      <c r="G47" s="2110"/>
      <c r="H47" s="2110"/>
      <c r="I47" s="2110"/>
      <c r="J47" s="2110"/>
      <c r="K47" s="2110"/>
      <c r="L47" s="2110"/>
      <c r="M47" s="2110"/>
      <c r="N47" s="2110"/>
      <c r="O47" s="2110"/>
      <c r="P47" s="2110"/>
      <c r="Q47" s="2110"/>
      <c r="R47" s="2111"/>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2190</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1529</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1531</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6"/>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41"/>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79" zoomScaleNormal="100" workbookViewId="0">
      <selection activeCell="I22" sqref="I22"/>
    </sheetView>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"&amp;TableA13a</f>
        <v>LIM471 Ephraim Mogale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16" t="str">
        <f>desc</f>
        <v>Description</v>
      </c>
      <c r="B2" s="2678" t="str">
        <f>head27</f>
        <v>Ref</v>
      </c>
      <c r="C2" s="2719" t="s">
        <v>1994</v>
      </c>
      <c r="D2" s="2719" t="str">
        <f>head1b</f>
        <v>2012/13</v>
      </c>
      <c r="E2" s="2719" t="str">
        <f>head1A</f>
        <v>2013/14</v>
      </c>
      <c r="F2" s="2721" t="str">
        <f>Head1</f>
        <v>2014/15</v>
      </c>
      <c r="G2" s="2714" t="str">
        <f>Head2</f>
        <v>Current Year 2015/16</v>
      </c>
      <c r="H2" s="1948" t="str">
        <f>Head3</f>
        <v>2016/17 Medium Term Revenue &amp; Expenditure Framework</v>
      </c>
      <c r="I2" s="1949"/>
      <c r="J2" s="1950"/>
      <c r="K2" s="1734"/>
      <c r="L2" s="1734"/>
      <c r="M2" s="1734"/>
      <c r="N2" s="1734"/>
      <c r="O2" s="1734"/>
      <c r="P2" s="1734"/>
      <c r="Q2" s="1734"/>
      <c r="R2" s="1734"/>
    </row>
    <row r="3" spans="1:18" ht="24.95" customHeight="1" x14ac:dyDescent="0.25">
      <c r="A3" s="2717"/>
      <c r="B3" s="2718"/>
      <c r="C3" s="2720"/>
      <c r="D3" s="2720"/>
      <c r="E3" s="2720"/>
      <c r="F3" s="2722"/>
      <c r="G3" s="2715"/>
      <c r="H3" s="1812" t="str">
        <f>Head9</f>
        <v>Budget Year 2016/17</v>
      </c>
      <c r="I3" s="1951" t="str">
        <f>Head10</f>
        <v>Budget Year +1 2017/18</v>
      </c>
      <c r="J3" s="1811" t="str">
        <f>Head11</f>
        <v>Budget Year +2 2018/19</v>
      </c>
      <c r="K3" s="116"/>
      <c r="L3" s="116"/>
      <c r="M3" s="116"/>
      <c r="N3" s="116"/>
      <c r="O3" s="116"/>
      <c r="P3" s="116"/>
      <c r="Q3" s="116"/>
      <c r="R3" s="116"/>
    </row>
    <row r="4" spans="1:18" ht="12.75" customHeight="1" x14ac:dyDescent="0.25">
      <c r="A4" s="1952" t="s">
        <v>1995</v>
      </c>
      <c r="B4" s="1953">
        <v>1</v>
      </c>
      <c r="C4" s="1953"/>
      <c r="D4" s="1954"/>
      <c r="E4" s="1954"/>
      <c r="F4" s="1955"/>
      <c r="G4" s="1956"/>
      <c r="H4" s="1956"/>
      <c r="I4" s="1954"/>
      <c r="J4" s="1955"/>
      <c r="K4" s="116"/>
      <c r="L4" s="116"/>
      <c r="M4" s="116"/>
      <c r="N4" s="116"/>
      <c r="O4" s="116"/>
      <c r="P4" s="116"/>
      <c r="Q4" s="116"/>
      <c r="R4" s="116"/>
    </row>
    <row r="5" spans="1:18" ht="12.75" customHeight="1" x14ac:dyDescent="0.25">
      <c r="A5" s="1957" t="s">
        <v>1996</v>
      </c>
      <c r="B5" s="1958"/>
      <c r="C5" s="2401"/>
      <c r="D5" s="2608">
        <v>195</v>
      </c>
      <c r="E5" s="2609">
        <v>205</v>
      </c>
      <c r="F5" s="2610">
        <f>205*6/100+E5</f>
        <v>217.3</v>
      </c>
      <c r="G5" s="2610">
        <f>205*6/100+F5</f>
        <v>229.60000000000002</v>
      </c>
      <c r="H5" s="2610">
        <v>450.56360000000001</v>
      </c>
      <c r="I5" s="2610">
        <v>477.59741600000001</v>
      </c>
      <c r="J5" s="2610">
        <v>506.25319999999999</v>
      </c>
      <c r="K5" s="1550"/>
      <c r="L5" s="1550"/>
      <c r="M5" s="1550"/>
      <c r="N5" s="1550"/>
      <c r="O5" s="1550"/>
      <c r="P5" s="1550"/>
      <c r="Q5" s="1550"/>
      <c r="R5" s="1550"/>
    </row>
    <row r="6" spans="1:18" ht="12.75" customHeight="1" x14ac:dyDescent="0.25">
      <c r="A6" s="1957" t="s">
        <v>1997</v>
      </c>
      <c r="B6" s="1958"/>
      <c r="C6" s="2401"/>
      <c r="D6" s="2608"/>
      <c r="E6" s="2609"/>
      <c r="F6" s="2610">
        <v>0</v>
      </c>
      <c r="G6" s="2610">
        <v>0</v>
      </c>
      <c r="H6" s="2610"/>
      <c r="I6" s="2610"/>
      <c r="J6" s="2610"/>
      <c r="K6" s="1550"/>
      <c r="L6" s="1550"/>
      <c r="M6" s="1550"/>
      <c r="N6" s="1550"/>
      <c r="O6" s="1550"/>
      <c r="P6" s="1550"/>
      <c r="Q6" s="1550"/>
      <c r="R6" s="1550"/>
    </row>
    <row r="7" spans="1:18" ht="12.75" customHeight="1" x14ac:dyDescent="0.25">
      <c r="A7" s="1957" t="s">
        <v>1998</v>
      </c>
      <c r="B7" s="1958"/>
      <c r="C7" s="2401"/>
      <c r="D7" s="2608">
        <v>78</v>
      </c>
      <c r="E7" s="2609">
        <v>82</v>
      </c>
      <c r="F7" s="2610">
        <f t="shared" ref="F7:G9" si="0">205*6/100+E7</f>
        <v>94.3</v>
      </c>
      <c r="G7" s="2610">
        <f t="shared" si="0"/>
        <v>106.6</v>
      </c>
      <c r="H7" s="2610"/>
      <c r="I7" s="2610"/>
      <c r="J7" s="2610"/>
      <c r="K7" s="1550"/>
      <c r="L7" s="1550"/>
      <c r="M7" s="1550"/>
      <c r="N7" s="1550"/>
      <c r="O7" s="1550"/>
      <c r="P7" s="1550"/>
      <c r="Q7" s="1550"/>
      <c r="R7" s="1550"/>
    </row>
    <row r="8" spans="1:18" ht="12.75" customHeight="1" x14ac:dyDescent="0.25">
      <c r="A8" s="1957" t="s">
        <v>1999</v>
      </c>
      <c r="B8" s="1958"/>
      <c r="C8" s="2401"/>
      <c r="D8" s="2608">
        <v>176</v>
      </c>
      <c r="E8" s="2609">
        <v>186</v>
      </c>
      <c r="F8" s="2610">
        <f t="shared" si="0"/>
        <v>198.3</v>
      </c>
      <c r="G8" s="2610">
        <f t="shared" si="0"/>
        <v>210.60000000000002</v>
      </c>
      <c r="H8" s="2610"/>
      <c r="I8" s="2610"/>
      <c r="J8" s="2610"/>
      <c r="K8" s="1550"/>
      <c r="L8" s="1550"/>
      <c r="M8" s="1550"/>
      <c r="N8" s="1550"/>
      <c r="O8" s="1550"/>
      <c r="P8" s="1550"/>
      <c r="Q8" s="1550"/>
      <c r="R8" s="1550"/>
    </row>
    <row r="9" spans="1:18" ht="12.75" customHeight="1" x14ac:dyDescent="0.25">
      <c r="A9" s="1957" t="s">
        <v>2000</v>
      </c>
      <c r="B9" s="1958"/>
      <c r="C9" s="2401"/>
      <c r="D9" s="2608">
        <v>175</v>
      </c>
      <c r="E9" s="2609">
        <v>185</v>
      </c>
      <c r="F9" s="2610">
        <f t="shared" si="0"/>
        <v>197.3</v>
      </c>
      <c r="G9" s="2610">
        <f t="shared" si="0"/>
        <v>209.60000000000002</v>
      </c>
      <c r="H9" s="2610"/>
      <c r="I9" s="2610"/>
      <c r="J9" s="2610"/>
      <c r="K9" s="1550"/>
      <c r="L9" s="1550"/>
      <c r="M9" s="1550"/>
      <c r="N9" s="1550"/>
      <c r="O9" s="1550"/>
      <c r="P9" s="1550"/>
      <c r="Q9" s="1550"/>
      <c r="R9" s="1550"/>
    </row>
    <row r="10" spans="1:18" ht="12.75" customHeight="1" x14ac:dyDescent="0.25">
      <c r="A10" s="1957" t="s">
        <v>2001</v>
      </c>
      <c r="B10" s="1958"/>
      <c r="C10" s="2401"/>
      <c r="D10" s="2608">
        <v>0</v>
      </c>
      <c r="E10" s="2609">
        <v>0</v>
      </c>
      <c r="F10" s="2610">
        <v>0</v>
      </c>
      <c r="G10" s="2610">
        <v>0</v>
      </c>
      <c r="H10" s="2610"/>
      <c r="I10" s="2610"/>
      <c r="J10" s="2610"/>
      <c r="K10" s="1550"/>
      <c r="L10" s="1550"/>
      <c r="M10" s="1550"/>
      <c r="N10" s="1550"/>
      <c r="O10" s="1550"/>
      <c r="P10" s="1550"/>
      <c r="Q10" s="1550"/>
      <c r="R10" s="1550"/>
    </row>
    <row r="11" spans="1:18" ht="12.75" customHeight="1" x14ac:dyDescent="0.25">
      <c r="A11" s="1957" t="s">
        <v>2002</v>
      </c>
      <c r="B11" s="1958"/>
      <c r="C11" s="2401"/>
      <c r="D11" s="2608">
        <v>195</v>
      </c>
      <c r="E11" s="2609">
        <v>205</v>
      </c>
      <c r="F11" s="2610">
        <f t="shared" ref="F11:G16" si="1">205*6/100+E11</f>
        <v>217.3</v>
      </c>
      <c r="G11" s="2610">
        <f t="shared" si="1"/>
        <v>229.60000000000002</v>
      </c>
      <c r="H11" s="2610"/>
      <c r="I11" s="2610"/>
      <c r="J11" s="2610"/>
      <c r="K11" s="1550"/>
      <c r="L11" s="1550"/>
      <c r="M11" s="1550"/>
      <c r="N11" s="1550"/>
      <c r="O11" s="1550"/>
      <c r="P11" s="1550"/>
      <c r="Q11" s="1550"/>
      <c r="R11" s="1550"/>
    </row>
    <row r="12" spans="1:18" ht="12.75" customHeight="1" x14ac:dyDescent="0.25">
      <c r="A12" s="1957" t="s">
        <v>2003</v>
      </c>
      <c r="B12" s="1958"/>
      <c r="C12" s="2401"/>
      <c r="D12" s="2608">
        <v>195</v>
      </c>
      <c r="E12" s="2609">
        <v>205</v>
      </c>
      <c r="F12" s="2610">
        <f t="shared" si="1"/>
        <v>217.3</v>
      </c>
      <c r="G12" s="2610">
        <f t="shared" si="1"/>
        <v>229.60000000000002</v>
      </c>
      <c r="H12" s="2610">
        <v>3000.0120000000006</v>
      </c>
      <c r="I12" s="2610">
        <v>3180</v>
      </c>
      <c r="J12" s="2610">
        <v>3370.8</v>
      </c>
      <c r="K12" s="1550"/>
      <c r="L12" s="1550"/>
      <c r="M12" s="1550"/>
      <c r="N12" s="1550"/>
      <c r="O12" s="1550"/>
      <c r="P12" s="1550"/>
      <c r="Q12" s="1550"/>
      <c r="R12" s="1550"/>
    </row>
    <row r="13" spans="1:18" ht="12.75" customHeight="1" x14ac:dyDescent="0.25">
      <c r="A13" s="1957" t="s">
        <v>2004</v>
      </c>
      <c r="B13" s="1958"/>
      <c r="C13" s="2401"/>
      <c r="D13" s="2608">
        <v>98</v>
      </c>
      <c r="E13" s="2609">
        <v>104</v>
      </c>
      <c r="F13" s="2610">
        <f t="shared" si="1"/>
        <v>116.3</v>
      </c>
      <c r="G13" s="2610">
        <f t="shared" si="1"/>
        <v>128.6</v>
      </c>
      <c r="H13" s="2610"/>
      <c r="I13" s="2610"/>
      <c r="J13" s="2610"/>
      <c r="K13" s="1550"/>
      <c r="L13" s="1550"/>
      <c r="M13" s="1550"/>
      <c r="N13" s="1550"/>
      <c r="O13" s="1550"/>
      <c r="P13" s="1550"/>
      <c r="Q13" s="1550"/>
      <c r="R13" s="1550"/>
    </row>
    <row r="14" spans="1:18" ht="12.75" customHeight="1" x14ac:dyDescent="0.25">
      <c r="A14" s="1957" t="s">
        <v>2005</v>
      </c>
      <c r="B14" s="1958"/>
      <c r="C14" s="2401"/>
      <c r="D14" s="2608">
        <v>78</v>
      </c>
      <c r="E14" s="2609">
        <v>82</v>
      </c>
      <c r="F14" s="2610">
        <f t="shared" si="1"/>
        <v>94.3</v>
      </c>
      <c r="G14" s="2610">
        <f t="shared" si="1"/>
        <v>106.6</v>
      </c>
      <c r="H14" s="2610"/>
      <c r="I14" s="2610"/>
      <c r="J14" s="2610"/>
      <c r="K14" s="1550"/>
      <c r="L14" s="1550"/>
      <c r="M14" s="1550"/>
      <c r="N14" s="1550"/>
      <c r="O14" s="1550"/>
      <c r="P14" s="1550"/>
      <c r="Q14" s="1550"/>
      <c r="R14" s="1550"/>
    </row>
    <row r="15" spans="1:18" ht="12.75" customHeight="1" x14ac:dyDescent="0.25">
      <c r="A15" s="1957" t="s">
        <v>2006</v>
      </c>
      <c r="B15" s="1958"/>
      <c r="C15" s="2401"/>
      <c r="D15" s="2608">
        <v>185</v>
      </c>
      <c r="E15" s="2609">
        <v>195</v>
      </c>
      <c r="F15" s="2610">
        <f t="shared" si="1"/>
        <v>207.3</v>
      </c>
      <c r="G15" s="2610">
        <f t="shared" si="1"/>
        <v>219.60000000000002</v>
      </c>
      <c r="H15" s="2610"/>
      <c r="I15" s="2610"/>
      <c r="J15" s="2610"/>
      <c r="K15" s="1550"/>
      <c r="L15" s="1550"/>
      <c r="M15" s="1550"/>
      <c r="N15" s="1550"/>
      <c r="O15" s="1550"/>
      <c r="P15" s="1550"/>
      <c r="Q15" s="1550"/>
      <c r="R15" s="1550"/>
    </row>
    <row r="16" spans="1:18" ht="12.75" customHeight="1" x14ac:dyDescent="0.25">
      <c r="A16" s="1957" t="s">
        <v>2007</v>
      </c>
      <c r="B16" s="1958"/>
      <c r="C16" s="2401"/>
      <c r="D16" s="2608">
        <v>195</v>
      </c>
      <c r="E16" s="2609">
        <v>205</v>
      </c>
      <c r="F16" s="2610">
        <f t="shared" si="1"/>
        <v>217.3</v>
      </c>
      <c r="G16" s="2610">
        <f t="shared" si="1"/>
        <v>229.60000000000002</v>
      </c>
      <c r="H16" s="2610"/>
      <c r="I16" s="2610"/>
      <c r="J16" s="2610"/>
      <c r="K16" s="1743"/>
      <c r="L16" s="1743"/>
      <c r="M16" s="1743"/>
      <c r="N16" s="1743"/>
      <c r="O16" s="1743"/>
      <c r="P16" s="1743"/>
      <c r="Q16" s="1743"/>
      <c r="R16" s="1743"/>
    </row>
    <row r="17" spans="1:18" ht="12.75" customHeight="1" x14ac:dyDescent="0.25">
      <c r="A17" s="1957" t="s">
        <v>2008</v>
      </c>
      <c r="B17" s="1958"/>
      <c r="C17" s="2401"/>
      <c r="D17" s="2608"/>
      <c r="E17" s="2609"/>
      <c r="F17" s="2610">
        <v>0</v>
      </c>
      <c r="G17" s="2610">
        <v>0</v>
      </c>
      <c r="H17" s="2610"/>
      <c r="I17" s="2610"/>
      <c r="J17" s="2610"/>
      <c r="K17" s="1745"/>
      <c r="L17" s="1745"/>
      <c r="M17" s="1745"/>
      <c r="N17" s="1745"/>
      <c r="O17" s="1745"/>
      <c r="P17" s="1745"/>
      <c r="Q17" s="1745"/>
      <c r="R17" s="1745"/>
    </row>
    <row r="18" spans="1:18" ht="12.75" customHeight="1" x14ac:dyDescent="0.25">
      <c r="A18" s="1957" t="s">
        <v>2009</v>
      </c>
      <c r="B18" s="1958"/>
      <c r="C18" s="2401"/>
      <c r="D18" s="2608">
        <v>137</v>
      </c>
      <c r="E18" s="2609">
        <v>141</v>
      </c>
      <c r="F18" s="2610">
        <f t="shared" ref="F18:G19" si="2">205*6/100+E18</f>
        <v>153.30000000000001</v>
      </c>
      <c r="G18" s="2610">
        <f t="shared" si="2"/>
        <v>165.60000000000002</v>
      </c>
      <c r="H18" s="2610"/>
      <c r="I18" s="2610"/>
      <c r="J18" s="2610"/>
      <c r="K18" s="1746"/>
      <c r="L18" s="1746"/>
      <c r="M18" s="1746"/>
      <c r="N18" s="1746"/>
      <c r="O18" s="1746"/>
      <c r="P18" s="1746"/>
      <c r="Q18" s="1746"/>
      <c r="R18" s="1746"/>
    </row>
    <row r="19" spans="1:18" ht="12.75" customHeight="1" x14ac:dyDescent="0.25">
      <c r="A19" s="1957" t="s">
        <v>2010</v>
      </c>
      <c r="B19" s="1958"/>
      <c r="C19" s="2401"/>
      <c r="D19" s="2608">
        <v>195</v>
      </c>
      <c r="E19" s="2609">
        <v>205</v>
      </c>
      <c r="F19" s="2610">
        <f t="shared" si="2"/>
        <v>217.3</v>
      </c>
      <c r="G19" s="2610">
        <f t="shared" si="2"/>
        <v>229.60000000000002</v>
      </c>
      <c r="H19" s="2610">
        <v>662</v>
      </c>
      <c r="I19" s="2610">
        <v>701.72</v>
      </c>
      <c r="J19" s="2610">
        <v>743.82320000000004</v>
      </c>
      <c r="K19" s="1745"/>
      <c r="L19" s="1745"/>
      <c r="M19" s="1745"/>
      <c r="N19" s="1745"/>
      <c r="O19" s="1745"/>
      <c r="P19" s="1745"/>
      <c r="Q19" s="1745"/>
      <c r="R19" s="1745"/>
    </row>
    <row r="20" spans="1:18" ht="12.75" customHeight="1" x14ac:dyDescent="0.25">
      <c r="A20" s="1957" t="s">
        <v>2011</v>
      </c>
      <c r="B20" s="1958"/>
      <c r="C20" s="2401"/>
      <c r="D20" s="2608">
        <v>0</v>
      </c>
      <c r="E20" s="2609">
        <v>0</v>
      </c>
      <c r="F20" s="2610">
        <v>0</v>
      </c>
      <c r="G20" s="2610">
        <v>0</v>
      </c>
      <c r="H20" s="2404"/>
      <c r="I20" s="2402"/>
      <c r="J20" s="2403"/>
      <c r="K20" s="1745"/>
      <c r="L20" s="1745"/>
      <c r="M20" s="1745"/>
      <c r="N20" s="1745"/>
      <c r="O20" s="1745"/>
      <c r="P20" s="1745"/>
      <c r="Q20" s="1745"/>
      <c r="R20" s="1745"/>
    </row>
    <row r="21" spans="1:18" ht="12.75" customHeight="1" x14ac:dyDescent="0.25">
      <c r="A21" s="1957" t="s">
        <v>2012</v>
      </c>
      <c r="B21" s="1958"/>
      <c r="C21" s="2401"/>
      <c r="D21" s="2608">
        <v>0</v>
      </c>
      <c r="E21" s="2609">
        <v>0</v>
      </c>
      <c r="F21" s="2610">
        <v>0</v>
      </c>
      <c r="G21" s="2610">
        <v>0</v>
      </c>
      <c r="H21" s="2404"/>
      <c r="I21" s="2402"/>
      <c r="J21" s="2403"/>
      <c r="K21" s="1745"/>
      <c r="L21" s="1745"/>
      <c r="M21" s="1745"/>
      <c r="N21" s="1745"/>
      <c r="O21" s="1745"/>
      <c r="P21" s="1745"/>
      <c r="Q21" s="1745"/>
      <c r="R21" s="1745"/>
    </row>
    <row r="22" spans="1:18" ht="12.75" customHeight="1" x14ac:dyDescent="0.25">
      <c r="A22" s="1957" t="s">
        <v>392</v>
      </c>
      <c r="B22" s="1958"/>
      <c r="C22" s="2401"/>
      <c r="D22" s="2608">
        <v>98</v>
      </c>
      <c r="E22" s="2609">
        <v>104</v>
      </c>
      <c r="F22" s="2610">
        <f>205*6/100+E22</f>
        <v>116.3</v>
      </c>
      <c r="G22" s="2610">
        <f>205*6/100+F22</f>
        <v>128.6</v>
      </c>
      <c r="H22" s="2404"/>
      <c r="I22" s="2402"/>
      <c r="J22" s="2403"/>
      <c r="K22" s="1745"/>
      <c r="L22" s="1745"/>
      <c r="M22" s="1745"/>
      <c r="N22" s="1745"/>
      <c r="O22" s="1745"/>
      <c r="P22" s="1745"/>
      <c r="Q22" s="1745"/>
      <c r="R22" s="1745"/>
    </row>
    <row r="23" spans="1:18" ht="12.75" customHeight="1" x14ac:dyDescent="0.25">
      <c r="A23" s="1957" t="s">
        <v>2013</v>
      </c>
      <c r="B23" s="1958"/>
      <c r="C23" s="2401"/>
      <c r="D23" s="2608"/>
      <c r="E23" s="2608"/>
      <c r="F23" s="2403"/>
      <c r="G23" s="2610">
        <v>0</v>
      </c>
      <c r="H23" s="2404"/>
      <c r="I23" s="2402"/>
      <c r="J23" s="2403"/>
      <c r="K23" s="1745"/>
      <c r="L23" s="1745"/>
      <c r="M23" s="1745"/>
      <c r="N23" s="1745"/>
      <c r="O23" s="1745"/>
      <c r="P23" s="1745"/>
      <c r="Q23" s="1745"/>
      <c r="R23" s="1745"/>
    </row>
    <row r="24" spans="1:18" ht="12.75" customHeight="1" x14ac:dyDescent="0.25">
      <c r="A24" s="1957" t="s">
        <v>2014</v>
      </c>
      <c r="B24" s="1958"/>
      <c r="C24" s="2401"/>
      <c r="D24" s="2608">
        <v>0</v>
      </c>
      <c r="E24" s="2608">
        <v>0</v>
      </c>
      <c r="F24" s="2403">
        <v>0</v>
      </c>
      <c r="G24" s="2610">
        <v>0</v>
      </c>
      <c r="H24" s="2404"/>
      <c r="I24" s="2402"/>
      <c r="J24" s="2403"/>
      <c r="K24" s="1745"/>
      <c r="L24" s="1745"/>
      <c r="M24" s="1745"/>
      <c r="N24" s="1745"/>
      <c r="O24" s="1745"/>
      <c r="P24" s="1745"/>
      <c r="Q24" s="1745"/>
      <c r="R24" s="1745"/>
    </row>
    <row r="25" spans="1:18" ht="12.75" customHeight="1" x14ac:dyDescent="0.25">
      <c r="A25" s="1957" t="s">
        <v>2015</v>
      </c>
      <c r="B25" s="1959"/>
      <c r="C25" s="2401"/>
      <c r="D25" s="2608">
        <v>0</v>
      </c>
      <c r="E25" s="2608">
        <v>0</v>
      </c>
      <c r="F25" s="2403">
        <v>0</v>
      </c>
      <c r="G25" s="2610">
        <v>0</v>
      </c>
      <c r="H25" s="2404"/>
      <c r="I25" s="2402"/>
      <c r="J25" s="2403"/>
      <c r="K25" s="480"/>
      <c r="L25" s="480"/>
      <c r="M25" s="480"/>
      <c r="N25" s="480"/>
      <c r="O25" s="480"/>
      <c r="P25" s="480"/>
      <c r="Q25" s="480"/>
      <c r="R25" s="480"/>
    </row>
    <row r="26" spans="1:18" ht="5.0999999999999996" customHeight="1" x14ac:dyDescent="0.25">
      <c r="A26" s="1957"/>
      <c r="B26" s="1959"/>
      <c r="C26" s="2401"/>
      <c r="D26" s="2401"/>
      <c r="E26" s="2401"/>
      <c r="F26" s="2405"/>
      <c r="G26" s="2610">
        <f>205*6/100+F26</f>
        <v>12.3</v>
      </c>
      <c r="H26" s="2406"/>
      <c r="I26" s="2401"/>
      <c r="J26" s="2405"/>
      <c r="K26" s="480"/>
      <c r="L26" s="480"/>
      <c r="M26" s="480"/>
      <c r="N26" s="480"/>
      <c r="O26" s="480"/>
      <c r="P26" s="480"/>
      <c r="Q26" s="480"/>
      <c r="R26" s="480"/>
    </row>
    <row r="27" spans="1:18" ht="12.75" customHeight="1" x14ac:dyDescent="0.25">
      <c r="A27" s="1952" t="s">
        <v>2016</v>
      </c>
      <c r="B27" s="1959"/>
      <c r="C27" s="1960"/>
      <c r="D27" s="1960"/>
      <c r="E27" s="1960"/>
      <c r="F27" s="1961"/>
      <c r="G27" s="1962"/>
      <c r="H27" s="1962"/>
      <c r="I27" s="1960"/>
      <c r="J27" s="1961"/>
      <c r="K27" s="1747"/>
      <c r="L27" s="1747"/>
      <c r="M27" s="1747"/>
      <c r="N27" s="1747"/>
      <c r="O27" s="1747"/>
      <c r="P27" s="1747"/>
      <c r="Q27" s="1747"/>
      <c r="R27" s="1747"/>
    </row>
    <row r="28" spans="1:18" ht="12.75" customHeight="1" x14ac:dyDescent="0.25">
      <c r="A28" s="1963" t="s">
        <v>1996</v>
      </c>
      <c r="B28" s="1959"/>
      <c r="C28" s="1960"/>
      <c r="D28" s="1960"/>
      <c r="E28" s="1960"/>
      <c r="F28" s="1961"/>
      <c r="G28" s="1962"/>
      <c r="H28" s="1962"/>
      <c r="I28" s="1960"/>
      <c r="J28" s="1961"/>
      <c r="K28" s="1747"/>
      <c r="L28" s="1747"/>
      <c r="M28" s="1747"/>
      <c r="N28" s="1747"/>
      <c r="O28" s="1747"/>
      <c r="P28" s="1747"/>
      <c r="Q28" s="1747"/>
      <c r="R28" s="1747"/>
    </row>
    <row r="29" spans="1:18" ht="12.75" customHeight="1" x14ac:dyDescent="0.25">
      <c r="A29" s="1957" t="s">
        <v>2051</v>
      </c>
      <c r="B29" s="1958"/>
      <c r="C29" s="1960"/>
      <c r="D29" s="1960">
        <v>15000</v>
      </c>
      <c r="E29" s="1960">
        <v>15000</v>
      </c>
      <c r="F29" s="1961">
        <v>15000</v>
      </c>
      <c r="G29" s="1962">
        <v>15000</v>
      </c>
      <c r="H29" s="1962">
        <v>15000</v>
      </c>
      <c r="I29" s="1960">
        <v>15000</v>
      </c>
      <c r="J29" s="1961">
        <v>15000</v>
      </c>
      <c r="K29" s="1747"/>
      <c r="L29" s="1747"/>
      <c r="M29" s="1747"/>
      <c r="N29" s="1747"/>
      <c r="O29" s="1747"/>
      <c r="P29" s="1747"/>
      <c r="Q29" s="1747"/>
      <c r="R29" s="1747"/>
    </row>
    <row r="30" spans="1:18" ht="12.75" customHeight="1" x14ac:dyDescent="0.25">
      <c r="A30" s="1964" t="s">
        <v>2017</v>
      </c>
      <c r="B30" s="1958"/>
      <c r="C30" s="2401"/>
      <c r="D30" s="2401"/>
      <c r="E30" s="2401"/>
      <c r="F30" s="2405"/>
      <c r="G30" s="2406"/>
      <c r="H30" s="2406"/>
      <c r="I30" s="2401"/>
      <c r="J30" s="2405"/>
      <c r="K30" s="1747"/>
      <c r="L30" s="1747"/>
      <c r="M30" s="1747"/>
      <c r="N30" s="1747"/>
      <c r="O30" s="1747"/>
      <c r="P30" s="1747"/>
      <c r="Q30" s="1747"/>
      <c r="R30" s="1747"/>
    </row>
    <row r="31" spans="1:18" ht="12.75" customHeight="1" x14ac:dyDescent="0.25">
      <c r="A31" s="1129" t="s">
        <v>2018</v>
      </c>
      <c r="B31" s="1958"/>
      <c r="C31" s="2401"/>
      <c r="D31" s="2401"/>
      <c r="E31" s="2401"/>
      <c r="F31" s="2405"/>
      <c r="G31" s="2406"/>
      <c r="H31" s="2406"/>
      <c r="I31" s="2401"/>
      <c r="J31" s="2405"/>
      <c r="K31" s="1747"/>
      <c r="L31" s="1747"/>
      <c r="M31" s="1747"/>
      <c r="N31" s="1747"/>
      <c r="O31" s="1747"/>
      <c r="P31" s="1747"/>
      <c r="Q31" s="1747"/>
      <c r="R31" s="1747"/>
    </row>
    <row r="32" spans="1:18" ht="12.75" customHeight="1" x14ac:dyDescent="0.25">
      <c r="A32" s="1129" t="s">
        <v>2019</v>
      </c>
      <c r="B32" s="1958"/>
      <c r="C32" s="2401"/>
      <c r="D32" s="2401"/>
      <c r="E32" s="2401"/>
      <c r="F32" s="2405"/>
      <c r="G32" s="2406"/>
      <c r="H32" s="2406"/>
      <c r="I32" s="2401"/>
      <c r="J32" s="2405"/>
      <c r="K32" s="1747"/>
      <c r="L32" s="1747"/>
      <c r="M32" s="1747"/>
      <c r="N32" s="1747"/>
      <c r="O32" s="1747"/>
      <c r="P32" s="1747"/>
      <c r="Q32" s="1747"/>
      <c r="R32" s="1747"/>
    </row>
    <row r="33" spans="1:19" ht="12.75" customHeight="1" x14ac:dyDescent="0.25">
      <c r="A33" s="1129" t="s">
        <v>2020</v>
      </c>
      <c r="B33" s="1958"/>
      <c r="C33" s="2401"/>
      <c r="D33" s="2401"/>
      <c r="E33" s="2401"/>
      <c r="F33" s="2405"/>
      <c r="G33" s="2406"/>
      <c r="H33" s="2406"/>
      <c r="I33" s="2401"/>
      <c r="J33" s="2405"/>
      <c r="K33" s="1737"/>
      <c r="L33" s="1737"/>
      <c r="M33" s="1737"/>
      <c r="N33" s="1737"/>
      <c r="O33" s="1737"/>
      <c r="P33" s="1737"/>
      <c r="Q33" s="1737"/>
      <c r="R33" s="1737"/>
    </row>
    <row r="34" spans="1:19" ht="12.75" customHeight="1" x14ac:dyDescent="0.25">
      <c r="A34" s="1129" t="s">
        <v>2021</v>
      </c>
      <c r="B34" s="1958"/>
      <c r="C34" s="2401"/>
      <c r="D34" s="2401"/>
      <c r="E34" s="2401"/>
      <c r="F34" s="2405"/>
      <c r="G34" s="2406"/>
      <c r="H34" s="2406"/>
      <c r="I34" s="2401"/>
      <c r="J34" s="2405"/>
      <c r="K34" s="1748"/>
      <c r="L34" s="1748"/>
      <c r="M34" s="1748"/>
      <c r="N34" s="1748"/>
      <c r="O34" s="1748"/>
      <c r="P34" s="1748"/>
      <c r="Q34" s="1748"/>
      <c r="R34" s="1748"/>
    </row>
    <row r="35" spans="1:19" ht="12.75" customHeight="1" x14ac:dyDescent="0.25">
      <c r="A35" s="1128" t="s">
        <v>2165</v>
      </c>
      <c r="B35" s="1958">
        <v>2</v>
      </c>
      <c r="C35" s="2401"/>
      <c r="D35" s="2401"/>
      <c r="E35" s="2401"/>
      <c r="F35" s="2405"/>
      <c r="G35" s="2406"/>
      <c r="H35" s="2406"/>
      <c r="I35" s="2401"/>
      <c r="J35" s="2405"/>
      <c r="K35" s="1748"/>
      <c r="L35" s="1748"/>
      <c r="M35" s="1748"/>
      <c r="N35" s="1748"/>
      <c r="O35" s="1748"/>
      <c r="P35" s="1748"/>
      <c r="Q35" s="1748"/>
      <c r="R35" s="1748"/>
    </row>
    <row r="36" spans="1:19" ht="5.0999999999999996" customHeight="1" x14ac:dyDescent="0.25">
      <c r="A36" s="1965"/>
      <c r="B36" s="1959"/>
      <c r="C36" s="1959"/>
      <c r="D36" s="1966"/>
      <c r="E36" s="1966"/>
      <c r="F36" s="1967"/>
      <c r="G36" s="1968"/>
      <c r="H36" s="1968"/>
      <c r="I36" s="1966"/>
      <c r="J36" s="1967"/>
      <c r="K36" s="1750"/>
      <c r="L36" s="1750"/>
      <c r="M36" s="1750"/>
      <c r="N36" s="1750"/>
      <c r="O36" s="1750"/>
      <c r="P36" s="1750"/>
      <c r="Q36" s="1750"/>
      <c r="R36" s="1750"/>
    </row>
    <row r="37" spans="1:19" ht="12.75" customHeight="1" x14ac:dyDescent="0.25">
      <c r="A37" s="1952" t="s">
        <v>2022</v>
      </c>
      <c r="B37" s="1959"/>
      <c r="C37" s="1959"/>
      <c r="D37" s="1960"/>
      <c r="E37" s="1960"/>
      <c r="F37" s="1961"/>
      <c r="G37" s="1962"/>
      <c r="H37" s="1962"/>
      <c r="I37" s="1960"/>
      <c r="J37" s="1961"/>
      <c r="K37" s="1738"/>
      <c r="L37" s="1738"/>
      <c r="M37" s="1738"/>
      <c r="N37" s="1738"/>
      <c r="O37" s="1738"/>
      <c r="P37" s="1738"/>
      <c r="Q37" s="1738"/>
      <c r="R37" s="1738"/>
    </row>
    <row r="38" spans="1:19" ht="12.75" customHeight="1" x14ac:dyDescent="0.25">
      <c r="A38" s="1963" t="s">
        <v>2023</v>
      </c>
      <c r="B38" s="1958"/>
      <c r="C38" s="1959"/>
      <c r="D38" s="1960"/>
      <c r="E38" s="1960"/>
      <c r="F38" s="1961"/>
      <c r="G38" s="1962"/>
      <c r="H38" s="1962"/>
      <c r="I38" s="1960"/>
      <c r="J38" s="1961"/>
      <c r="K38" s="1751"/>
      <c r="L38" s="1751"/>
      <c r="M38" s="1751"/>
      <c r="N38" s="1751"/>
      <c r="O38" s="1751"/>
      <c r="P38" s="1751"/>
      <c r="Q38" s="1751"/>
      <c r="R38" s="1751"/>
    </row>
    <row r="39" spans="1:19" ht="12.75" customHeight="1" x14ac:dyDescent="0.25">
      <c r="A39" s="1957" t="s">
        <v>2024</v>
      </c>
      <c r="B39" s="1958"/>
      <c r="C39" s="2401"/>
      <c r="D39" s="2401"/>
      <c r="E39" s="2401"/>
      <c r="F39" s="2405"/>
      <c r="G39" s="2406"/>
      <c r="H39" s="2406"/>
      <c r="I39" s="2401"/>
      <c r="J39" s="2405"/>
      <c r="K39" s="1190"/>
      <c r="L39" s="1190"/>
      <c r="M39" s="1190"/>
      <c r="N39" s="1190"/>
      <c r="O39" s="1190"/>
      <c r="P39" s="1190"/>
      <c r="Q39" s="1190"/>
      <c r="R39" s="1190"/>
      <c r="S39" s="88">
        <f>SUM(C39:R39)</f>
        <v>0</v>
      </c>
    </row>
    <row r="40" spans="1:19" ht="12.75" customHeight="1" x14ac:dyDescent="0.25">
      <c r="A40" s="1957" t="s">
        <v>2025</v>
      </c>
      <c r="B40" s="1958"/>
      <c r="C40" s="2401"/>
      <c r="D40" s="2401"/>
      <c r="E40" s="2401"/>
      <c r="F40" s="2405"/>
      <c r="G40" s="2406"/>
      <c r="H40" s="2406"/>
      <c r="I40" s="2401"/>
      <c r="J40" s="2405"/>
      <c r="K40" s="1190"/>
      <c r="L40" s="1190"/>
      <c r="M40" s="1190"/>
      <c r="N40" s="1190"/>
      <c r="O40" s="1190"/>
      <c r="P40" s="1190"/>
      <c r="Q40" s="1190"/>
      <c r="R40" s="1190"/>
      <c r="S40" s="88">
        <f>SUM(C40:R40)</f>
        <v>0</v>
      </c>
    </row>
    <row r="41" spans="1:19" ht="12.75" customHeight="1" x14ac:dyDescent="0.25">
      <c r="A41" s="1957" t="s">
        <v>2026</v>
      </c>
      <c r="B41" s="1958"/>
      <c r="C41" s="2401"/>
      <c r="D41" s="2401"/>
      <c r="E41" s="2401"/>
      <c r="F41" s="2405"/>
      <c r="G41" s="2406"/>
      <c r="H41" s="2406"/>
      <c r="I41" s="2401"/>
      <c r="J41" s="2405"/>
      <c r="K41" s="1752"/>
      <c r="L41" s="1752"/>
      <c r="M41" s="1752"/>
      <c r="N41" s="1752"/>
      <c r="O41" s="1752"/>
      <c r="P41" s="1752"/>
      <c r="Q41" s="1752"/>
      <c r="R41" s="1752"/>
    </row>
    <row r="42" spans="1:19" ht="12.75" customHeight="1" x14ac:dyDescent="0.25">
      <c r="A42" s="1129" t="s">
        <v>2027</v>
      </c>
      <c r="B42" s="1958"/>
      <c r="C42" s="2401" t="s">
        <v>2028</v>
      </c>
      <c r="D42" s="2401"/>
      <c r="E42" s="2401"/>
      <c r="F42" s="2405"/>
      <c r="G42" s="2406"/>
      <c r="H42" s="2406"/>
      <c r="I42" s="2401"/>
      <c r="J42" s="2405"/>
      <c r="K42" s="1753"/>
      <c r="L42" s="1753"/>
      <c r="M42" s="1753"/>
      <c r="N42" s="1753"/>
      <c r="O42" s="1753"/>
      <c r="P42" s="1753"/>
      <c r="Q42" s="1753"/>
      <c r="R42" s="1753"/>
    </row>
    <row r="43" spans="1:19" ht="12.75" customHeight="1" x14ac:dyDescent="0.25">
      <c r="A43" s="1129" t="s">
        <v>2029</v>
      </c>
      <c r="B43" s="1958"/>
      <c r="C43" s="2401" t="s">
        <v>2030</v>
      </c>
      <c r="D43" s="2401"/>
      <c r="E43" s="2401"/>
      <c r="F43" s="2405"/>
      <c r="G43" s="2406"/>
      <c r="H43" s="2406"/>
      <c r="I43" s="2401"/>
      <c r="J43" s="2405"/>
      <c r="K43" s="1753"/>
      <c r="L43" s="1753"/>
      <c r="M43" s="1753"/>
      <c r="N43" s="1753"/>
      <c r="O43" s="1753"/>
      <c r="P43" s="1753"/>
      <c r="Q43" s="1753"/>
      <c r="R43" s="1753"/>
    </row>
    <row r="44" spans="1:19" ht="12.75" customHeight="1" x14ac:dyDescent="0.25">
      <c r="A44" s="1129" t="s">
        <v>2031</v>
      </c>
      <c r="B44" s="1958"/>
      <c r="C44" s="2401" t="s">
        <v>2030</v>
      </c>
      <c r="D44" s="2401"/>
      <c r="E44" s="2401"/>
      <c r="F44" s="2405"/>
      <c r="G44" s="2406"/>
      <c r="H44" s="2406"/>
      <c r="I44" s="2401"/>
      <c r="J44" s="2405"/>
      <c r="K44" s="1753"/>
      <c r="L44" s="1753"/>
      <c r="M44" s="1753"/>
      <c r="N44" s="1753"/>
      <c r="O44" s="1753"/>
      <c r="P44" s="1753"/>
      <c r="Q44" s="1753"/>
      <c r="R44" s="1753"/>
    </row>
    <row r="45" spans="1:19" ht="12.75" customHeight="1" x14ac:dyDescent="0.25">
      <c r="A45" s="1129" t="s">
        <v>2032</v>
      </c>
      <c r="B45" s="1958"/>
      <c r="C45" s="2401" t="s">
        <v>2030</v>
      </c>
      <c r="D45" s="2401"/>
      <c r="E45" s="2401"/>
      <c r="F45" s="2405"/>
      <c r="G45" s="2406"/>
      <c r="H45" s="2406"/>
      <c r="I45" s="2401"/>
      <c r="J45" s="2405"/>
      <c r="K45" s="1753"/>
      <c r="L45" s="1753"/>
      <c r="M45" s="1753"/>
      <c r="N45" s="1753"/>
      <c r="O45" s="1753"/>
      <c r="P45" s="1753"/>
      <c r="Q45" s="1753"/>
      <c r="R45" s="1753"/>
    </row>
    <row r="46" spans="1:19" ht="12.75" customHeight="1" x14ac:dyDescent="0.25">
      <c r="A46" s="1129" t="s">
        <v>2033</v>
      </c>
      <c r="B46" s="1958"/>
      <c r="C46" s="2401" t="s">
        <v>2030</v>
      </c>
      <c r="D46" s="2401"/>
      <c r="E46" s="2401"/>
      <c r="F46" s="2405"/>
      <c r="G46" s="2406"/>
      <c r="H46" s="2406"/>
      <c r="I46" s="2401"/>
      <c r="J46" s="2405"/>
      <c r="K46" s="1753"/>
      <c r="L46" s="1753"/>
      <c r="M46" s="1753"/>
      <c r="N46" s="1753"/>
      <c r="O46" s="1753"/>
      <c r="P46" s="1753"/>
      <c r="Q46" s="1753"/>
      <c r="R46" s="1753"/>
    </row>
    <row r="47" spans="1:19" ht="12.75" customHeight="1" x14ac:dyDescent="0.25">
      <c r="A47" s="1128" t="s">
        <v>276</v>
      </c>
      <c r="B47" s="1958">
        <v>2</v>
      </c>
      <c r="C47" s="2401"/>
      <c r="D47" s="2401"/>
      <c r="E47" s="2401"/>
      <c r="F47" s="2405"/>
      <c r="G47" s="2406"/>
      <c r="H47" s="2406"/>
      <c r="I47" s="2401"/>
      <c r="J47" s="2405"/>
      <c r="K47" s="1753"/>
      <c r="L47" s="1753"/>
      <c r="M47" s="1753"/>
      <c r="N47" s="1753"/>
      <c r="O47" s="1753"/>
      <c r="P47" s="1753"/>
      <c r="Q47" s="1753"/>
      <c r="R47" s="1753"/>
    </row>
    <row r="48" spans="1:19" ht="4.5" customHeight="1" x14ac:dyDescent="0.25">
      <c r="A48" s="1078"/>
      <c r="B48" s="1958"/>
      <c r="C48" s="1959"/>
      <c r="D48" s="1960"/>
      <c r="E48" s="1960"/>
      <c r="F48" s="1961"/>
      <c r="G48" s="1962"/>
      <c r="H48" s="1962"/>
      <c r="I48" s="1960"/>
      <c r="J48" s="1961"/>
      <c r="K48" s="139"/>
      <c r="L48" s="139"/>
      <c r="M48" s="139"/>
      <c r="N48" s="139"/>
      <c r="O48" s="139"/>
      <c r="P48" s="139"/>
      <c r="Q48" s="139"/>
      <c r="R48" s="139"/>
    </row>
    <row r="49" spans="1:18" ht="12.75" customHeight="1" x14ac:dyDescent="0.25">
      <c r="A49" s="1952" t="s">
        <v>2034</v>
      </c>
      <c r="B49" s="1958"/>
      <c r="C49" s="1959"/>
      <c r="D49" s="1960"/>
      <c r="E49" s="1960"/>
      <c r="F49" s="1961"/>
      <c r="G49" s="1962"/>
      <c r="H49" s="1962"/>
      <c r="I49" s="1960"/>
      <c r="J49" s="1961"/>
      <c r="K49" s="241"/>
      <c r="L49" s="241"/>
      <c r="M49" s="241"/>
      <c r="N49" s="241"/>
      <c r="O49" s="241"/>
      <c r="P49" s="241"/>
      <c r="Q49" s="241"/>
      <c r="R49" s="241"/>
    </row>
    <row r="50" spans="1:18" s="922" customFormat="1" ht="12.75" customHeight="1" x14ac:dyDescent="0.25">
      <c r="A50" s="1963" t="s">
        <v>2023</v>
      </c>
      <c r="B50" s="1958"/>
      <c r="C50" s="1959"/>
      <c r="D50" s="1960"/>
      <c r="E50" s="1960"/>
      <c r="F50" s="1961"/>
      <c r="G50" s="1962"/>
      <c r="H50" s="1962"/>
      <c r="I50" s="1960"/>
      <c r="J50" s="1961"/>
      <c r="K50" s="899"/>
      <c r="L50" s="899"/>
      <c r="M50" s="899"/>
      <c r="N50" s="899"/>
      <c r="O50" s="899"/>
      <c r="P50" s="899"/>
      <c r="Q50" s="899"/>
      <c r="R50" s="899"/>
    </row>
    <row r="51" spans="1:18" s="922" customFormat="1" ht="12.75" customHeight="1" x14ac:dyDescent="0.25">
      <c r="A51" s="1957" t="s">
        <v>2024</v>
      </c>
      <c r="B51" s="1958"/>
      <c r="C51" s="2401"/>
      <c r="D51" s="2401"/>
      <c r="E51" s="2401"/>
      <c r="F51" s="2405"/>
      <c r="G51" s="2406"/>
      <c r="H51" s="2406"/>
      <c r="I51" s="2401"/>
      <c r="J51" s="2405"/>
      <c r="K51" s="899"/>
      <c r="L51" s="899"/>
      <c r="M51" s="899"/>
      <c r="N51" s="899"/>
      <c r="O51" s="899"/>
      <c r="P51" s="899"/>
      <c r="Q51" s="899"/>
      <c r="R51" s="899"/>
    </row>
    <row r="52" spans="1:18" s="922" customFormat="1" ht="12.75" customHeight="1" x14ac:dyDescent="0.25">
      <c r="A52" s="1957" t="s">
        <v>2025</v>
      </c>
      <c r="B52" s="1958"/>
      <c r="C52" s="2401"/>
      <c r="D52" s="2401"/>
      <c r="E52" s="2401"/>
      <c r="F52" s="2405"/>
      <c r="G52" s="2406"/>
      <c r="H52" s="2406"/>
      <c r="I52" s="2401"/>
      <c r="J52" s="2405"/>
      <c r="K52" s="899"/>
      <c r="L52" s="899"/>
      <c r="M52" s="899"/>
      <c r="N52" s="899"/>
      <c r="O52" s="899"/>
      <c r="P52" s="899"/>
      <c r="Q52" s="899"/>
      <c r="R52" s="899"/>
    </row>
    <row r="53" spans="1:18" s="922" customFormat="1" ht="12.75" customHeight="1" x14ac:dyDescent="0.25">
      <c r="A53" s="1957" t="s">
        <v>2035</v>
      </c>
      <c r="B53" s="1958"/>
      <c r="C53" s="2401"/>
      <c r="D53" s="2401"/>
      <c r="E53" s="2401"/>
      <c r="F53" s="2405"/>
      <c r="G53" s="2406"/>
      <c r="H53" s="2406"/>
      <c r="I53" s="2401"/>
      <c r="J53" s="2405"/>
      <c r="K53" s="899"/>
      <c r="L53" s="899"/>
      <c r="M53" s="899"/>
      <c r="N53" s="899"/>
      <c r="O53" s="899"/>
      <c r="P53" s="899"/>
      <c r="Q53" s="899"/>
      <c r="R53" s="899"/>
    </row>
    <row r="54" spans="1:18" s="922" customFormat="1" ht="12.75" customHeight="1" x14ac:dyDescent="0.25">
      <c r="A54" s="1957" t="s">
        <v>2036</v>
      </c>
      <c r="B54" s="1958"/>
      <c r="C54" s="2401" t="s">
        <v>2037</v>
      </c>
      <c r="D54" s="2401"/>
      <c r="E54" s="2401"/>
      <c r="F54" s="2405"/>
      <c r="G54" s="2406"/>
      <c r="H54" s="2406"/>
      <c r="I54" s="2401"/>
      <c r="J54" s="2405"/>
      <c r="K54" s="899"/>
      <c r="L54" s="899"/>
      <c r="M54" s="899"/>
      <c r="N54" s="899"/>
      <c r="O54" s="899"/>
      <c r="P54" s="899"/>
      <c r="Q54" s="899"/>
      <c r="R54" s="899"/>
    </row>
    <row r="55" spans="1:18" s="922" customFormat="1" ht="12.75" customHeight="1" x14ac:dyDescent="0.25">
      <c r="A55" s="1957" t="s">
        <v>2038</v>
      </c>
      <c r="B55" s="1958"/>
      <c r="C55" s="2401" t="s">
        <v>2037</v>
      </c>
      <c r="D55" s="2401"/>
      <c r="E55" s="2401"/>
      <c r="F55" s="2405"/>
      <c r="G55" s="2406"/>
      <c r="H55" s="2406"/>
      <c r="I55" s="2401"/>
      <c r="J55" s="2405"/>
      <c r="K55" s="899"/>
      <c r="L55" s="899"/>
      <c r="M55" s="899"/>
      <c r="N55" s="899"/>
      <c r="O55" s="899"/>
      <c r="P55" s="899"/>
      <c r="Q55" s="899"/>
      <c r="R55" s="899"/>
    </row>
    <row r="56" spans="1:18" s="922" customFormat="1" ht="12.75" customHeight="1" x14ac:dyDescent="0.25">
      <c r="A56" s="1957" t="s">
        <v>2039</v>
      </c>
      <c r="B56" s="1958"/>
      <c r="C56" s="2401" t="s">
        <v>2037</v>
      </c>
      <c r="D56" s="2401"/>
      <c r="E56" s="2401"/>
      <c r="F56" s="2405"/>
      <c r="G56" s="2406"/>
      <c r="H56" s="2406"/>
      <c r="I56" s="2401"/>
      <c r="J56" s="2405"/>
      <c r="K56" s="899"/>
      <c r="L56" s="899"/>
      <c r="M56" s="899"/>
      <c r="N56" s="899"/>
      <c r="O56" s="899"/>
      <c r="P56" s="899"/>
      <c r="Q56" s="899"/>
      <c r="R56" s="899"/>
    </row>
    <row r="57" spans="1:18" ht="12.75" customHeight="1" x14ac:dyDescent="0.25">
      <c r="A57" s="1957" t="s">
        <v>2040</v>
      </c>
      <c r="B57" s="1958"/>
      <c r="C57" s="2401" t="s">
        <v>2037</v>
      </c>
      <c r="D57" s="2401"/>
      <c r="E57" s="2401"/>
      <c r="F57" s="2405"/>
      <c r="G57" s="2406"/>
      <c r="H57" s="2406"/>
      <c r="I57" s="2401"/>
      <c r="J57" s="2405"/>
      <c r="K57" s="808"/>
      <c r="L57" s="808"/>
      <c r="M57" s="808"/>
      <c r="N57" s="808"/>
      <c r="O57" s="808"/>
      <c r="P57" s="808"/>
      <c r="Q57" s="808"/>
      <c r="R57" s="808"/>
    </row>
    <row r="58" spans="1:18" ht="12.75" customHeight="1" x14ac:dyDescent="0.25">
      <c r="A58" s="1128" t="s">
        <v>276</v>
      </c>
      <c r="B58" s="1958">
        <v>2</v>
      </c>
      <c r="C58" s="2401"/>
      <c r="D58" s="2401"/>
      <c r="E58" s="2401"/>
      <c r="F58" s="2405"/>
      <c r="G58" s="2406"/>
      <c r="H58" s="2406"/>
      <c r="I58" s="2401"/>
      <c r="J58" s="2405"/>
      <c r="K58" s="1734"/>
      <c r="L58" s="1734"/>
      <c r="M58" s="1734"/>
      <c r="N58" s="1734"/>
      <c r="O58" s="1734"/>
      <c r="P58" s="1734"/>
      <c r="Q58" s="1734"/>
      <c r="R58" s="1734"/>
    </row>
    <row r="59" spans="1:18" ht="4.5" customHeight="1" x14ac:dyDescent="0.25">
      <c r="A59" s="1969"/>
      <c r="B59" s="1959"/>
      <c r="C59" s="1959"/>
      <c r="D59" s="1960"/>
      <c r="E59" s="1960"/>
      <c r="F59" s="1961"/>
      <c r="G59" s="1962"/>
      <c r="H59" s="1962"/>
      <c r="I59" s="1960"/>
      <c r="J59" s="1961"/>
      <c r="K59" s="116"/>
      <c r="L59" s="116"/>
      <c r="M59" s="116"/>
      <c r="N59" s="116"/>
      <c r="O59" s="116"/>
      <c r="P59" s="116"/>
      <c r="Q59" s="116"/>
      <c r="R59" s="116"/>
    </row>
    <row r="60" spans="1:18" ht="12.75" customHeight="1" x14ac:dyDescent="0.25">
      <c r="A60" s="1952" t="s">
        <v>2041</v>
      </c>
      <c r="B60" s="1958"/>
      <c r="C60" s="1959"/>
      <c r="D60" s="1960"/>
      <c r="E60" s="1960"/>
      <c r="F60" s="1961"/>
      <c r="G60" s="1962"/>
      <c r="H60" s="1962"/>
      <c r="I60" s="1960"/>
      <c r="J60" s="1961"/>
      <c r="K60" s="116"/>
      <c r="L60" s="116"/>
      <c r="M60" s="116"/>
      <c r="N60" s="116"/>
      <c r="O60" s="116"/>
      <c r="P60" s="116"/>
      <c r="Q60" s="116"/>
      <c r="R60" s="116"/>
    </row>
    <row r="61" spans="1:18" ht="12.75" customHeight="1" x14ac:dyDescent="0.25">
      <c r="A61" s="1963" t="s">
        <v>2023</v>
      </c>
      <c r="B61" s="1958"/>
      <c r="C61" s="1959"/>
      <c r="D61" s="1960"/>
      <c r="E61" s="1960"/>
      <c r="F61" s="1961"/>
      <c r="G61" s="1962"/>
      <c r="H61" s="1962"/>
      <c r="I61" s="1960"/>
      <c r="J61" s="1961"/>
      <c r="K61" s="1550"/>
      <c r="L61" s="1550"/>
      <c r="M61" s="1550"/>
      <c r="N61" s="1550"/>
      <c r="O61" s="1550"/>
      <c r="P61" s="1550"/>
      <c r="Q61" s="1550"/>
      <c r="R61" s="1550"/>
    </row>
    <row r="62" spans="1:18" ht="12.75" customHeight="1" x14ac:dyDescent="0.25">
      <c r="A62" s="1957" t="s">
        <v>2024</v>
      </c>
      <c r="B62" s="1958"/>
      <c r="C62" s="2401"/>
      <c r="D62" s="2401"/>
      <c r="E62" s="2401"/>
      <c r="F62" s="2405"/>
      <c r="G62" s="2406"/>
      <c r="H62" s="2406">
        <v>163.6216</v>
      </c>
      <c r="I62" s="2401">
        <v>173.43879999999999</v>
      </c>
      <c r="J62" s="2405"/>
      <c r="K62" s="1550"/>
      <c r="L62" s="1550"/>
      <c r="M62" s="1550"/>
      <c r="N62" s="1550"/>
      <c r="O62" s="1550"/>
      <c r="P62" s="1550"/>
      <c r="Q62" s="1550"/>
      <c r="R62" s="1550"/>
    </row>
    <row r="63" spans="1:18" ht="12.75" customHeight="1" x14ac:dyDescent="0.25">
      <c r="A63" s="1957" t="s">
        <v>2042</v>
      </c>
      <c r="B63" s="1958"/>
      <c r="C63" s="2401"/>
      <c r="D63" s="2401"/>
      <c r="E63" s="2401"/>
      <c r="F63" s="2405"/>
      <c r="G63" s="2406"/>
      <c r="H63" s="2406"/>
      <c r="I63" s="2401"/>
      <c r="J63" s="2405"/>
      <c r="K63" s="1550"/>
      <c r="L63" s="1550"/>
      <c r="M63" s="1550"/>
      <c r="N63" s="1550"/>
      <c r="O63" s="1550"/>
      <c r="P63" s="1550"/>
      <c r="Q63" s="1550"/>
      <c r="R63" s="1550"/>
    </row>
    <row r="64" spans="1:18" ht="12.75" customHeight="1" x14ac:dyDescent="0.25">
      <c r="A64" s="1970" t="s">
        <v>2043</v>
      </c>
      <c r="B64" s="1958"/>
      <c r="C64" s="2401" t="s">
        <v>2044</v>
      </c>
      <c r="D64" s="2401"/>
      <c r="E64" s="2401"/>
      <c r="F64" s="2405"/>
      <c r="G64" s="2406"/>
      <c r="H64" s="2406"/>
      <c r="I64" s="2401"/>
      <c r="J64" s="2405"/>
      <c r="K64" s="1550"/>
      <c r="L64" s="1550"/>
      <c r="M64" s="1550"/>
      <c r="N64" s="1550"/>
      <c r="O64" s="1550"/>
      <c r="P64" s="1550"/>
      <c r="Q64" s="1550"/>
      <c r="R64" s="1550"/>
    </row>
    <row r="65" spans="1:18" ht="12.75" customHeight="1" x14ac:dyDescent="0.25">
      <c r="A65" s="1957" t="s">
        <v>2064</v>
      </c>
      <c r="B65" s="1958"/>
      <c r="C65" s="2401" t="s">
        <v>2028</v>
      </c>
      <c r="D65" s="2401"/>
      <c r="E65" s="2401"/>
      <c r="F65" s="2405"/>
      <c r="G65" s="2406"/>
      <c r="H65" s="2406"/>
      <c r="I65" s="2401"/>
      <c r="J65" s="2405"/>
      <c r="K65" s="1550"/>
      <c r="L65" s="1550"/>
      <c r="M65" s="1550"/>
      <c r="N65" s="1550"/>
      <c r="O65" s="1550"/>
      <c r="P65" s="1550"/>
      <c r="Q65" s="1550"/>
      <c r="R65" s="1550"/>
    </row>
    <row r="66" spans="1:18" ht="12.75" customHeight="1" x14ac:dyDescent="0.25">
      <c r="A66" s="1957" t="s">
        <v>2065</v>
      </c>
      <c r="B66" s="1958"/>
      <c r="C66" s="2401" t="s">
        <v>2028</v>
      </c>
      <c r="D66" s="2401"/>
      <c r="E66" s="2401"/>
      <c r="F66" s="2405"/>
      <c r="G66" s="2406"/>
      <c r="H66" s="2406"/>
      <c r="I66" s="2401"/>
      <c r="J66" s="2405"/>
      <c r="K66" s="1550"/>
      <c r="L66" s="1550"/>
      <c r="M66" s="1550"/>
      <c r="N66" s="1550"/>
      <c r="O66" s="1550"/>
      <c r="P66" s="1550"/>
      <c r="Q66" s="1550"/>
      <c r="R66" s="1550"/>
    </row>
    <row r="67" spans="1:18" ht="12.75" customHeight="1" x14ac:dyDescent="0.25">
      <c r="A67" s="1957" t="s">
        <v>2066</v>
      </c>
      <c r="B67" s="1958"/>
      <c r="C67" s="2401"/>
      <c r="D67" s="2401"/>
      <c r="E67" s="2401"/>
      <c r="F67" s="2405"/>
      <c r="G67" s="2406"/>
      <c r="H67" s="2406"/>
      <c r="I67" s="2401"/>
      <c r="J67" s="2405"/>
      <c r="K67" s="1550"/>
      <c r="L67" s="1550"/>
      <c r="M67" s="1550"/>
      <c r="N67" s="1550"/>
      <c r="O67" s="1550"/>
      <c r="P67" s="1550"/>
      <c r="Q67" s="1550"/>
      <c r="R67" s="1550"/>
    </row>
    <row r="68" spans="1:18" ht="12.75" customHeight="1" x14ac:dyDescent="0.25">
      <c r="A68" s="1957" t="s">
        <v>2067</v>
      </c>
      <c r="B68" s="1958"/>
      <c r="C68" s="2401"/>
      <c r="D68" s="2401"/>
      <c r="E68" s="2401"/>
      <c r="F68" s="2405"/>
      <c r="G68" s="2406"/>
      <c r="H68" s="2406"/>
      <c r="I68" s="2401"/>
      <c r="J68" s="2405"/>
      <c r="K68" s="1550"/>
      <c r="L68" s="1550"/>
      <c r="M68" s="1550"/>
      <c r="N68" s="1550"/>
      <c r="O68" s="1550"/>
      <c r="P68" s="1550"/>
      <c r="Q68" s="1550"/>
      <c r="R68" s="1550"/>
    </row>
    <row r="69" spans="1:18" ht="12.75" customHeight="1" x14ac:dyDescent="0.25">
      <c r="A69" s="1957" t="s">
        <v>2068</v>
      </c>
      <c r="B69" s="1958"/>
      <c r="C69" s="2401" t="s">
        <v>2045</v>
      </c>
      <c r="D69" s="2401"/>
      <c r="E69" s="2401"/>
      <c r="F69" s="2405"/>
      <c r="G69" s="2406"/>
      <c r="H69" s="2406"/>
      <c r="I69" s="2401"/>
      <c r="J69" s="2405"/>
      <c r="K69" s="1550"/>
      <c r="L69" s="1550"/>
      <c r="M69" s="1550"/>
      <c r="N69" s="1550"/>
      <c r="O69" s="1550"/>
      <c r="P69" s="1550"/>
      <c r="Q69" s="1550"/>
      <c r="R69" s="1550"/>
    </row>
    <row r="70" spans="1:18" ht="12.75" customHeight="1" x14ac:dyDescent="0.25">
      <c r="A70" s="1957" t="s">
        <v>2069</v>
      </c>
      <c r="B70" s="1958"/>
      <c r="C70" s="2401" t="s">
        <v>2045</v>
      </c>
      <c r="D70" s="2401"/>
      <c r="E70" s="2401"/>
      <c r="F70" s="2405"/>
      <c r="G70" s="2406"/>
      <c r="H70" s="2406"/>
      <c r="I70" s="2401"/>
      <c r="J70" s="2405"/>
      <c r="K70" s="1550"/>
      <c r="L70" s="1550"/>
      <c r="M70" s="1550"/>
      <c r="N70" s="1550"/>
      <c r="O70" s="1550"/>
      <c r="P70" s="1550"/>
      <c r="Q70" s="1550"/>
      <c r="R70" s="1550"/>
    </row>
    <row r="71" spans="1:18" ht="12.75" customHeight="1" x14ac:dyDescent="0.25">
      <c r="A71" s="1957" t="s">
        <v>2070</v>
      </c>
      <c r="B71" s="1958"/>
      <c r="C71" s="2401" t="s">
        <v>2045</v>
      </c>
      <c r="D71" s="2401"/>
      <c r="E71" s="2401"/>
      <c r="F71" s="2405"/>
      <c r="G71" s="2406"/>
      <c r="H71" s="2406"/>
      <c r="I71" s="2401"/>
      <c r="J71" s="2405"/>
      <c r="K71" s="1550"/>
      <c r="L71" s="1550"/>
      <c r="M71" s="1550"/>
      <c r="N71" s="1550"/>
      <c r="O71" s="1550"/>
      <c r="P71" s="1550"/>
      <c r="Q71" s="1550"/>
      <c r="R71" s="1550"/>
    </row>
    <row r="72" spans="1:18" ht="12.75" customHeight="1" x14ac:dyDescent="0.25">
      <c r="A72" s="1957" t="s">
        <v>2071</v>
      </c>
      <c r="B72" s="1958"/>
      <c r="C72" s="2401" t="s">
        <v>2045</v>
      </c>
      <c r="D72" s="2401"/>
      <c r="E72" s="2401"/>
      <c r="F72" s="2405"/>
      <c r="G72" s="2406"/>
      <c r="H72" s="2406"/>
      <c r="I72" s="2401"/>
      <c r="J72" s="2405"/>
      <c r="K72" s="1550"/>
      <c r="L72" s="1550"/>
      <c r="M72" s="1550"/>
      <c r="N72" s="1550"/>
      <c r="O72" s="1550"/>
      <c r="P72" s="1550"/>
      <c r="Q72" s="1550"/>
      <c r="R72" s="1550"/>
    </row>
    <row r="73" spans="1:18" ht="12.75" customHeight="1" x14ac:dyDescent="0.25">
      <c r="A73" s="1957" t="s">
        <v>2072</v>
      </c>
      <c r="B73" s="1958"/>
      <c r="C73" s="2401" t="s">
        <v>2045</v>
      </c>
      <c r="D73" s="2401"/>
      <c r="E73" s="2401"/>
      <c r="F73" s="2405"/>
      <c r="G73" s="2406"/>
      <c r="H73" s="2406"/>
      <c r="I73" s="2401"/>
      <c r="J73" s="2405"/>
      <c r="K73" s="1550"/>
      <c r="L73" s="1550"/>
      <c r="M73" s="1550"/>
      <c r="N73" s="1550"/>
      <c r="O73" s="1550"/>
      <c r="P73" s="1550"/>
      <c r="Q73" s="1550"/>
      <c r="R73" s="1550"/>
    </row>
    <row r="74" spans="1:18" ht="12.75" customHeight="1" x14ac:dyDescent="0.25">
      <c r="A74" s="1957" t="s">
        <v>2073</v>
      </c>
      <c r="B74" s="1958"/>
      <c r="C74" s="2401" t="s">
        <v>2045</v>
      </c>
      <c r="D74" s="2401"/>
      <c r="E74" s="2401"/>
      <c r="F74" s="2405"/>
      <c r="G74" s="2406"/>
      <c r="H74" s="2406"/>
      <c r="I74" s="2401"/>
      <c r="J74" s="2405"/>
      <c r="K74" s="1550"/>
      <c r="L74" s="1550"/>
      <c r="M74" s="1550"/>
      <c r="N74" s="1550"/>
      <c r="O74" s="1550"/>
      <c r="P74" s="1550"/>
      <c r="Q74" s="1550"/>
      <c r="R74" s="1550"/>
    </row>
    <row r="75" spans="1:18" ht="12.75" customHeight="1" x14ac:dyDescent="0.25">
      <c r="A75" s="1957" t="s">
        <v>2074</v>
      </c>
      <c r="B75" s="1958"/>
      <c r="C75" s="2401" t="s">
        <v>2045</v>
      </c>
      <c r="D75" s="2401"/>
      <c r="E75" s="2401"/>
      <c r="F75" s="2405"/>
      <c r="G75" s="2406"/>
      <c r="H75" s="2406"/>
      <c r="I75" s="2401"/>
      <c r="J75" s="2405"/>
      <c r="K75" s="1550"/>
      <c r="L75" s="1550"/>
      <c r="M75" s="1550"/>
      <c r="N75" s="1550"/>
      <c r="O75" s="1550"/>
      <c r="P75" s="1550"/>
      <c r="Q75" s="1550"/>
      <c r="R75" s="1550"/>
    </row>
    <row r="76" spans="1:18" ht="12.75" customHeight="1" x14ac:dyDescent="0.25">
      <c r="A76" s="1957" t="s">
        <v>2075</v>
      </c>
      <c r="B76" s="1958"/>
      <c r="C76" s="2401" t="s">
        <v>2045</v>
      </c>
      <c r="D76" s="2401"/>
      <c r="E76" s="2401"/>
      <c r="F76" s="2405"/>
      <c r="G76" s="2406"/>
      <c r="H76" s="2406"/>
      <c r="I76" s="2401"/>
      <c r="J76" s="2405"/>
      <c r="K76" s="1550"/>
      <c r="L76" s="1550"/>
      <c r="M76" s="1550"/>
      <c r="N76" s="1550"/>
      <c r="O76" s="1550"/>
      <c r="P76" s="1550"/>
      <c r="Q76" s="1550"/>
      <c r="R76" s="1550"/>
    </row>
    <row r="77" spans="1:18" ht="12.75" customHeight="1" x14ac:dyDescent="0.25">
      <c r="A77" s="1957" t="s">
        <v>2076</v>
      </c>
      <c r="B77" s="1958"/>
      <c r="C77" s="2401" t="s">
        <v>2045</v>
      </c>
      <c r="D77" s="2401"/>
      <c r="E77" s="2401"/>
      <c r="F77" s="2405"/>
      <c r="G77" s="2406"/>
      <c r="H77" s="2406"/>
      <c r="I77" s="2401"/>
      <c r="J77" s="2405"/>
      <c r="K77" s="1550"/>
      <c r="L77" s="1550"/>
      <c r="M77" s="1550"/>
      <c r="N77" s="1550"/>
      <c r="O77" s="1550"/>
      <c r="P77" s="1550"/>
      <c r="Q77" s="1550"/>
      <c r="R77" s="1550"/>
    </row>
    <row r="78" spans="1:18" ht="12.75" customHeight="1" x14ac:dyDescent="0.25">
      <c r="A78" s="1957" t="s">
        <v>2077</v>
      </c>
      <c r="B78" s="1958"/>
      <c r="C78" s="2401" t="s">
        <v>2045</v>
      </c>
      <c r="D78" s="2401"/>
      <c r="E78" s="2401"/>
      <c r="F78" s="2405"/>
      <c r="G78" s="2406"/>
      <c r="H78" s="2406"/>
      <c r="I78" s="2401"/>
      <c r="J78" s="2405"/>
      <c r="K78" s="1550"/>
      <c r="L78" s="1550"/>
      <c r="M78" s="1550"/>
      <c r="N78" s="1550"/>
      <c r="O78" s="1550"/>
      <c r="P78" s="1550"/>
      <c r="Q78" s="1550"/>
      <c r="R78" s="1550"/>
    </row>
    <row r="79" spans="1:18" ht="12.75" customHeight="1" x14ac:dyDescent="0.25">
      <c r="A79" s="1128" t="s">
        <v>276</v>
      </c>
      <c r="B79" s="1958">
        <v>2</v>
      </c>
      <c r="C79" s="2401"/>
      <c r="D79" s="2401"/>
      <c r="E79" s="2401"/>
      <c r="F79" s="2405"/>
      <c r="G79" s="2406"/>
      <c r="H79" s="2406"/>
      <c r="I79" s="2401"/>
      <c r="J79" s="2405"/>
      <c r="K79" s="1743"/>
      <c r="L79" s="1743"/>
      <c r="M79" s="1743"/>
      <c r="N79" s="1743"/>
      <c r="O79" s="1743"/>
      <c r="P79" s="1743"/>
      <c r="Q79" s="1743"/>
      <c r="R79" s="1743"/>
    </row>
    <row r="80" spans="1:18" ht="5.0999999999999996" customHeight="1" x14ac:dyDescent="0.25">
      <c r="A80" s="1963"/>
      <c r="B80" s="1958"/>
      <c r="C80" s="1958"/>
      <c r="D80" s="1960"/>
      <c r="E80" s="1960"/>
      <c r="F80" s="1961"/>
      <c r="G80" s="1962"/>
      <c r="H80" s="1962"/>
      <c r="I80" s="1960"/>
      <c r="J80" s="1961"/>
      <c r="K80" s="1745"/>
      <c r="L80" s="1745"/>
      <c r="M80" s="1745"/>
      <c r="N80" s="1745"/>
      <c r="O80" s="1745"/>
      <c r="P80" s="1745"/>
      <c r="Q80" s="1745"/>
      <c r="R80" s="1745"/>
    </row>
    <row r="81" spans="1:18" ht="12.75" customHeight="1" x14ac:dyDescent="0.25">
      <c r="A81" s="1952" t="s">
        <v>2046</v>
      </c>
      <c r="B81" s="1958"/>
      <c r="C81" s="1959"/>
      <c r="D81" s="1960"/>
      <c r="E81" s="1960"/>
      <c r="F81" s="1961"/>
      <c r="G81" s="1962"/>
      <c r="H81" s="1962"/>
      <c r="I81" s="1960"/>
      <c r="J81" s="1961"/>
      <c r="K81" s="1746"/>
      <c r="L81" s="1746"/>
      <c r="M81" s="1746"/>
      <c r="N81" s="1746"/>
      <c r="O81" s="1746"/>
      <c r="P81" s="1746"/>
      <c r="Q81" s="1746"/>
      <c r="R81" s="1746"/>
    </row>
    <row r="82" spans="1:18" ht="12.75" customHeight="1" x14ac:dyDescent="0.25">
      <c r="A82" s="1963" t="s">
        <v>2023</v>
      </c>
      <c r="B82" s="1958"/>
      <c r="C82" s="1959"/>
      <c r="D82" s="1960"/>
      <c r="E82" s="1960"/>
      <c r="F82" s="1961"/>
      <c r="G82" s="1962"/>
      <c r="H82" s="1962"/>
      <c r="I82" s="1960"/>
      <c r="J82" s="1961"/>
      <c r="K82" s="1745"/>
      <c r="L82" s="1745"/>
      <c r="M82" s="1745"/>
      <c r="N82" s="1745"/>
      <c r="O82" s="1745"/>
      <c r="P82" s="1745"/>
      <c r="Q82" s="1745"/>
      <c r="R82" s="1745"/>
    </row>
    <row r="83" spans="1:18" ht="12.75" customHeight="1" x14ac:dyDescent="0.25">
      <c r="A83" s="1957" t="s">
        <v>2047</v>
      </c>
      <c r="B83" s="1958"/>
      <c r="C83" s="2401"/>
      <c r="D83" s="2401">
        <v>110.13</v>
      </c>
      <c r="E83" s="2401"/>
      <c r="F83" s="2405"/>
      <c r="G83" s="2406">
        <v>183.86</v>
      </c>
      <c r="H83" s="2406"/>
      <c r="I83" s="2401"/>
      <c r="J83" s="2405"/>
      <c r="K83" s="1745"/>
      <c r="L83" s="1745"/>
      <c r="M83" s="1745"/>
      <c r="N83" s="1745"/>
      <c r="O83" s="1745"/>
      <c r="P83" s="1745"/>
      <c r="Q83" s="1745"/>
      <c r="R83" s="1745"/>
    </row>
    <row r="84" spans="1:18" ht="12.75" customHeight="1" x14ac:dyDescent="0.25">
      <c r="A84" s="1957" t="s">
        <v>2048</v>
      </c>
      <c r="B84" s="1958"/>
      <c r="C84" s="2401"/>
      <c r="D84" s="2401">
        <v>110.13</v>
      </c>
      <c r="E84" s="2401"/>
      <c r="F84" s="2405"/>
      <c r="G84" s="2406"/>
      <c r="H84" s="2406">
        <v>95.76</v>
      </c>
      <c r="I84" s="2401">
        <v>101.5056</v>
      </c>
      <c r="J84" s="2405">
        <v>107.595</v>
      </c>
      <c r="K84" s="1745"/>
      <c r="L84" s="1745"/>
      <c r="M84" s="1745"/>
      <c r="N84" s="1745"/>
      <c r="O84" s="1745"/>
      <c r="P84" s="1745"/>
      <c r="Q84" s="1745"/>
      <c r="R84" s="1745"/>
    </row>
    <row r="85" spans="1:18" ht="12.75" customHeight="1" x14ac:dyDescent="0.25">
      <c r="A85" s="1957" t="s">
        <v>2049</v>
      </c>
      <c r="B85" s="1958"/>
      <c r="C85" s="2401"/>
      <c r="D85" s="2401">
        <v>52</v>
      </c>
      <c r="E85" s="2401">
        <v>55</v>
      </c>
      <c r="F85" s="2405">
        <v>59</v>
      </c>
      <c r="G85" s="2406">
        <v>63</v>
      </c>
      <c r="H85" s="2406">
        <v>377.1</v>
      </c>
      <c r="I85" s="2401">
        <v>399.726</v>
      </c>
      <c r="J85" s="2405">
        <v>423.70956000000001</v>
      </c>
      <c r="K85" s="1745"/>
      <c r="L85" s="1745"/>
      <c r="M85" s="1745"/>
      <c r="N85" s="1745"/>
      <c r="O85" s="1745"/>
      <c r="P85" s="1745"/>
      <c r="Q85" s="1745"/>
      <c r="R85" s="1745"/>
    </row>
    <row r="86" spans="1:18" ht="12.75" customHeight="1" x14ac:dyDescent="0.25">
      <c r="A86" s="1957" t="s">
        <v>2050</v>
      </c>
      <c r="B86" s="1958"/>
      <c r="C86" s="2401"/>
      <c r="D86" s="2401">
        <v>144.54</v>
      </c>
      <c r="E86" s="2401">
        <v>153.21</v>
      </c>
      <c r="F86" s="2405">
        <v>162.41</v>
      </c>
      <c r="G86" s="2406">
        <v>173.45</v>
      </c>
      <c r="H86" s="2406">
        <v>125.68</v>
      </c>
      <c r="I86" s="2401">
        <v>133.2208</v>
      </c>
      <c r="J86" s="2405">
        <v>141.214</v>
      </c>
      <c r="K86" s="1745"/>
      <c r="L86" s="1745"/>
      <c r="M86" s="1745"/>
      <c r="N86" s="1745"/>
      <c r="O86" s="1745"/>
      <c r="P86" s="1745"/>
      <c r="Q86" s="1745"/>
      <c r="R86" s="1745"/>
    </row>
    <row r="87" spans="1:18" ht="5.0999999999999996" customHeight="1" x14ac:dyDescent="0.25">
      <c r="A87" s="1971"/>
      <c r="B87" s="1972"/>
      <c r="C87" s="1972"/>
      <c r="D87" s="1973"/>
      <c r="E87" s="1973"/>
      <c r="F87" s="1974"/>
      <c r="G87" s="1975"/>
      <c r="H87" s="1975"/>
      <c r="I87" s="1973"/>
      <c r="J87" s="1974"/>
      <c r="K87" s="1745"/>
      <c r="L87" s="1745"/>
      <c r="M87" s="1745"/>
      <c r="N87" s="1745"/>
      <c r="O87" s="1745"/>
      <c r="P87" s="1745"/>
      <c r="Q87" s="1745"/>
      <c r="R87" s="1745"/>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2164</v>
      </c>
      <c r="B89" s="1976"/>
      <c r="C89" s="1976"/>
      <c r="D89" s="1268"/>
      <c r="E89" s="1268"/>
      <c r="F89" s="1268"/>
      <c r="G89" s="1268"/>
      <c r="H89" s="1268"/>
      <c r="I89" s="1268"/>
      <c r="J89" s="1268"/>
      <c r="K89" s="1747"/>
      <c r="L89" s="1747"/>
      <c r="M89" s="1747"/>
      <c r="N89" s="1747"/>
      <c r="O89" s="1747"/>
      <c r="P89" s="1747"/>
      <c r="Q89" s="1747"/>
      <c r="R89" s="1747"/>
    </row>
    <row r="90" spans="1:18" ht="11.25" customHeight="1" x14ac:dyDescent="0.25">
      <c r="A90" s="1270" t="s">
        <v>2170</v>
      </c>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977"/>
      <c r="B91" s="1978"/>
      <c r="C91" s="1979"/>
      <c r="D91" s="1979"/>
      <c r="E91" s="1979"/>
      <c r="F91" s="1979"/>
      <c r="G91" s="1979"/>
      <c r="H91" s="1979"/>
      <c r="I91" s="1979"/>
      <c r="J91" s="1979"/>
      <c r="K91" s="1747"/>
      <c r="L91" s="1747"/>
      <c r="M91" s="1747"/>
      <c r="N91" s="1747"/>
      <c r="O91" s="1747"/>
      <c r="P91" s="1747"/>
      <c r="Q91" s="1747"/>
      <c r="R91" s="1747"/>
    </row>
    <row r="92" spans="1:18" ht="11.25" customHeight="1" x14ac:dyDescent="0.25">
      <c r="A92" s="1735"/>
      <c r="C92" s="1747"/>
      <c r="D92" s="1747"/>
      <c r="E92" s="1747"/>
      <c r="F92" s="1747"/>
      <c r="G92" s="1747"/>
      <c r="H92" s="1747"/>
      <c r="I92" s="1747"/>
      <c r="J92" s="1747"/>
      <c r="K92" s="1747"/>
      <c r="L92" s="1747"/>
      <c r="M92" s="1747"/>
      <c r="N92" s="1747"/>
      <c r="O92" s="1747"/>
      <c r="P92" s="1747"/>
      <c r="Q92" s="1747"/>
      <c r="R92" s="1747"/>
    </row>
    <row r="93" spans="1:18" ht="21" customHeight="1" x14ac:dyDescent="0.25">
      <c r="A93" s="1988"/>
      <c r="B93" s="1745"/>
      <c r="C93" s="1989"/>
      <c r="D93" s="1989"/>
      <c r="E93" s="1989"/>
      <c r="F93" s="1989"/>
      <c r="G93" s="1989"/>
      <c r="H93" s="1989"/>
      <c r="I93" s="1989"/>
      <c r="J93" s="1989"/>
      <c r="K93" s="1989"/>
      <c r="L93" s="1747"/>
      <c r="M93" s="1747"/>
      <c r="N93" s="1747"/>
      <c r="O93" s="1747"/>
      <c r="P93" s="1747"/>
      <c r="Q93" s="1747"/>
      <c r="R93" s="1747"/>
    </row>
    <row r="94" spans="1:18" ht="22.5" customHeight="1" x14ac:dyDescent="0.25">
      <c r="A94" s="2713"/>
      <c r="B94" s="2713"/>
      <c r="C94" s="2712"/>
      <c r="D94" s="2712"/>
      <c r="E94" s="2712"/>
      <c r="F94" s="2712"/>
      <c r="G94" s="2712"/>
      <c r="H94" s="1991"/>
      <c r="I94" s="1991"/>
      <c r="J94" s="1991"/>
      <c r="K94" s="1989"/>
      <c r="L94" s="1747"/>
      <c r="M94" s="1747"/>
      <c r="N94" s="1747"/>
      <c r="O94" s="1747"/>
      <c r="P94" s="1747"/>
      <c r="Q94" s="1747"/>
      <c r="R94" s="1747"/>
    </row>
    <row r="95" spans="1:18" ht="36.75" customHeight="1" x14ac:dyDescent="0.25">
      <c r="A95" s="2713"/>
      <c r="B95" s="2713"/>
      <c r="C95" s="2712"/>
      <c r="D95" s="2712"/>
      <c r="E95" s="2712"/>
      <c r="F95" s="2712"/>
      <c r="G95" s="2712"/>
      <c r="H95" s="1990"/>
      <c r="I95" s="1990"/>
      <c r="J95" s="1990"/>
      <c r="K95" s="1992"/>
      <c r="L95" s="1737"/>
      <c r="M95" s="1737"/>
      <c r="N95" s="1737"/>
      <c r="O95" s="1737"/>
      <c r="P95" s="1737"/>
      <c r="Q95" s="1737"/>
      <c r="R95" s="1737"/>
    </row>
    <row r="96" spans="1:18" ht="21.75" customHeight="1" x14ac:dyDescent="0.25">
      <c r="A96" s="1986"/>
      <c r="B96" s="1982"/>
      <c r="C96" s="1993"/>
      <c r="D96" s="1993"/>
      <c r="E96" s="1993"/>
      <c r="F96" s="1993"/>
      <c r="G96" s="1993"/>
      <c r="H96" s="1993"/>
      <c r="I96" s="1993"/>
      <c r="J96" s="1993"/>
      <c r="K96" s="1994"/>
      <c r="L96" s="1748"/>
      <c r="M96" s="1748"/>
      <c r="N96" s="1748"/>
      <c r="O96" s="1748"/>
      <c r="P96" s="1748"/>
      <c r="Q96" s="1748"/>
      <c r="R96" s="1748"/>
    </row>
    <row r="97" spans="1:18" ht="11.45" customHeight="1" x14ac:dyDescent="0.25">
      <c r="A97" s="1987"/>
      <c r="B97" s="1982"/>
      <c r="C97" s="1993"/>
      <c r="D97" s="1993"/>
      <c r="E97" s="1993"/>
      <c r="F97" s="1993"/>
      <c r="G97" s="1993"/>
      <c r="H97" s="1993"/>
      <c r="I97" s="1993"/>
      <c r="J97" s="1993"/>
      <c r="K97" s="1994"/>
      <c r="L97" s="1748"/>
      <c r="M97" s="1748"/>
      <c r="N97" s="1748"/>
      <c r="O97" s="1748"/>
      <c r="P97" s="1748"/>
      <c r="Q97" s="1748"/>
      <c r="R97" s="1748"/>
    </row>
    <row r="98" spans="1:18" ht="11.45" customHeight="1" x14ac:dyDescent="0.25">
      <c r="A98" s="1987"/>
      <c r="B98" s="1982"/>
      <c r="C98" s="1993"/>
      <c r="D98" s="1993"/>
      <c r="E98" s="1993"/>
      <c r="F98" s="1993"/>
      <c r="G98" s="1993"/>
      <c r="H98" s="1993"/>
      <c r="I98" s="1993"/>
      <c r="J98" s="1993"/>
      <c r="K98" s="1994"/>
      <c r="L98" s="1748"/>
      <c r="M98" s="1748"/>
      <c r="N98" s="1748"/>
      <c r="O98" s="1748"/>
      <c r="P98" s="1748"/>
      <c r="Q98" s="1748"/>
      <c r="R98" s="1748"/>
    </row>
    <row r="99" spans="1:18" ht="11.45" customHeight="1" x14ac:dyDescent="0.25">
      <c r="A99" s="1987"/>
      <c r="B99" s="1982"/>
      <c r="C99" s="1993"/>
      <c r="D99" s="1993"/>
      <c r="E99" s="1993"/>
      <c r="F99" s="1993"/>
      <c r="G99" s="1993"/>
      <c r="H99" s="1993"/>
      <c r="I99" s="1993"/>
      <c r="J99" s="1993"/>
      <c r="K99" s="1994"/>
      <c r="L99" s="1748"/>
      <c r="M99" s="1748"/>
      <c r="N99" s="1748"/>
      <c r="O99" s="1748"/>
      <c r="P99" s="1748"/>
      <c r="Q99" s="1748"/>
      <c r="R99" s="1748"/>
    </row>
    <row r="100" spans="1:18" ht="21" customHeight="1" x14ac:dyDescent="0.25">
      <c r="A100" s="1986"/>
      <c r="B100" s="1982"/>
      <c r="C100" s="1993"/>
      <c r="D100" s="1993"/>
      <c r="E100" s="1993"/>
      <c r="F100" s="1993"/>
      <c r="G100" s="1993"/>
      <c r="H100" s="1993"/>
      <c r="I100" s="1993"/>
      <c r="J100" s="1993"/>
      <c r="K100" s="1994"/>
      <c r="L100" s="1748"/>
      <c r="M100" s="1748"/>
      <c r="N100" s="1748"/>
      <c r="O100" s="1748"/>
      <c r="P100" s="1748"/>
      <c r="Q100" s="1748"/>
      <c r="R100" s="1748"/>
    </row>
    <row r="101" spans="1:18" ht="11.45" customHeight="1" x14ac:dyDescent="0.25">
      <c r="A101" s="1987"/>
      <c r="B101" s="1982"/>
      <c r="C101" s="1993"/>
      <c r="D101" s="1993"/>
      <c r="E101" s="1993"/>
      <c r="F101" s="1993"/>
      <c r="G101" s="1993"/>
      <c r="H101" s="1993"/>
      <c r="I101" s="1993"/>
      <c r="J101" s="1993"/>
      <c r="K101" s="1994"/>
      <c r="L101" s="1748"/>
      <c r="M101" s="1748"/>
      <c r="N101" s="1748"/>
      <c r="O101" s="1748"/>
      <c r="P101" s="1748"/>
      <c r="Q101" s="1748"/>
      <c r="R101" s="1748"/>
    </row>
    <row r="102" spans="1:18" ht="11.45" customHeight="1" x14ac:dyDescent="0.25">
      <c r="A102" s="1987"/>
      <c r="B102" s="1982"/>
      <c r="C102" s="1993"/>
      <c r="D102" s="1993"/>
      <c r="E102" s="1993"/>
      <c r="F102" s="1993"/>
      <c r="G102" s="1993"/>
      <c r="H102" s="1993"/>
      <c r="I102" s="1993"/>
      <c r="J102" s="1993"/>
      <c r="K102" s="1994"/>
      <c r="L102" s="1748"/>
      <c r="M102" s="1748"/>
      <c r="N102" s="1748"/>
      <c r="O102" s="1748"/>
      <c r="P102" s="1748"/>
      <c r="Q102" s="1748"/>
      <c r="R102" s="1748"/>
    </row>
    <row r="103" spans="1:18" ht="11.45" customHeight="1" x14ac:dyDescent="0.25">
      <c r="A103" s="1987"/>
      <c r="B103" s="1982"/>
      <c r="C103" s="1993"/>
      <c r="D103" s="1993"/>
      <c r="E103" s="1993"/>
      <c r="F103" s="1993"/>
      <c r="G103" s="1993"/>
      <c r="H103" s="1993"/>
      <c r="I103" s="1993"/>
      <c r="J103" s="1993"/>
      <c r="K103" s="1994"/>
      <c r="L103" s="1748"/>
      <c r="M103" s="1748"/>
      <c r="N103" s="1748"/>
      <c r="O103" s="1748"/>
      <c r="P103" s="1748"/>
      <c r="Q103" s="1748"/>
      <c r="R103" s="1748"/>
    </row>
    <row r="104" spans="1:18" ht="11.45" customHeight="1" x14ac:dyDescent="0.25">
      <c r="A104" s="1987"/>
      <c r="B104" s="1982"/>
      <c r="C104" s="1993"/>
      <c r="D104" s="1993"/>
      <c r="E104" s="1993"/>
      <c r="F104" s="1993"/>
      <c r="G104" s="1993"/>
      <c r="H104" s="1993"/>
      <c r="I104" s="1993"/>
      <c r="J104" s="1993"/>
      <c r="K104" s="1994"/>
      <c r="L104" s="1748"/>
      <c r="M104" s="1748"/>
      <c r="N104" s="1748"/>
      <c r="O104" s="1748"/>
      <c r="P104" s="1748"/>
      <c r="Q104" s="1748"/>
      <c r="R104" s="1748"/>
    </row>
    <row r="105" spans="1:18" ht="21" customHeight="1" x14ac:dyDescent="0.25">
      <c r="A105" s="1986"/>
      <c r="B105" s="1982"/>
      <c r="C105" s="1993"/>
      <c r="D105" s="1993"/>
      <c r="E105" s="1993"/>
      <c r="F105" s="1993"/>
      <c r="G105" s="1993"/>
      <c r="H105" s="1993"/>
      <c r="I105" s="1993"/>
      <c r="J105" s="1993"/>
      <c r="K105" s="1994"/>
      <c r="L105" s="1748"/>
      <c r="M105" s="1748"/>
      <c r="N105" s="1748"/>
      <c r="O105" s="1748"/>
      <c r="P105" s="1748"/>
      <c r="Q105" s="1748"/>
      <c r="R105" s="1748"/>
    </row>
    <row r="106" spans="1:18" ht="11.45" customHeight="1" x14ac:dyDescent="0.25">
      <c r="A106" s="1987"/>
      <c r="B106" s="1982"/>
      <c r="C106" s="1993"/>
      <c r="D106" s="1993"/>
      <c r="E106" s="1993"/>
      <c r="F106" s="1993"/>
      <c r="G106" s="1993"/>
      <c r="H106" s="1993"/>
      <c r="I106" s="1993"/>
      <c r="J106" s="1993"/>
      <c r="K106" s="1994"/>
      <c r="L106" s="1748"/>
      <c r="M106" s="1748"/>
      <c r="N106" s="1748"/>
      <c r="O106" s="1748"/>
      <c r="P106" s="1748"/>
      <c r="Q106" s="1748"/>
      <c r="R106" s="1748"/>
    </row>
    <row r="107" spans="1:18" ht="11.45" customHeight="1" x14ac:dyDescent="0.25">
      <c r="A107" s="1987"/>
      <c r="B107" s="1982"/>
      <c r="C107" s="1993"/>
      <c r="D107" s="1993"/>
      <c r="E107" s="1993"/>
      <c r="F107" s="1993"/>
      <c r="G107" s="1993"/>
      <c r="H107" s="1993"/>
      <c r="I107" s="1993"/>
      <c r="J107" s="1993"/>
      <c r="K107" s="1994"/>
      <c r="L107" s="1748"/>
      <c r="M107" s="1748"/>
      <c r="N107" s="1748"/>
      <c r="O107" s="1748"/>
      <c r="P107" s="1748"/>
      <c r="Q107" s="1748"/>
      <c r="R107" s="1748"/>
    </row>
    <row r="108" spans="1:18" ht="11.45" customHeight="1" x14ac:dyDescent="0.25">
      <c r="A108" s="1987"/>
      <c r="B108" s="1982"/>
      <c r="C108" s="1993"/>
      <c r="D108" s="1993"/>
      <c r="E108" s="1993"/>
      <c r="F108" s="1993"/>
      <c r="G108" s="1993"/>
      <c r="H108" s="1993"/>
      <c r="I108" s="1993"/>
      <c r="J108" s="1993"/>
      <c r="K108" s="1994"/>
      <c r="L108" s="1748"/>
      <c r="M108" s="1748"/>
      <c r="N108" s="1748"/>
      <c r="O108" s="1748"/>
      <c r="P108" s="1748"/>
      <c r="Q108" s="1748"/>
      <c r="R108" s="1748"/>
    </row>
    <row r="109" spans="1:18" ht="21" customHeight="1" x14ac:dyDescent="0.25">
      <c r="A109" s="1986"/>
      <c r="B109" s="1982"/>
      <c r="C109" s="1993"/>
      <c r="D109" s="1993"/>
      <c r="E109" s="1993"/>
      <c r="F109" s="1993"/>
      <c r="G109" s="1993"/>
      <c r="H109" s="1993"/>
      <c r="I109" s="1993"/>
      <c r="J109" s="1993"/>
      <c r="K109" s="1995"/>
      <c r="L109" s="1750"/>
      <c r="M109" s="1750"/>
      <c r="N109" s="1750"/>
      <c r="O109" s="1750"/>
      <c r="P109" s="1750"/>
      <c r="Q109" s="1750"/>
      <c r="R109" s="1750"/>
    </row>
    <row r="110" spans="1:18" ht="11.45" customHeight="1" x14ac:dyDescent="0.25">
      <c r="A110" s="1987"/>
      <c r="B110" s="1982"/>
      <c r="C110" s="1993"/>
      <c r="D110" s="1993"/>
      <c r="E110" s="1993"/>
      <c r="F110" s="1993"/>
      <c r="G110" s="1993"/>
      <c r="H110" s="1993"/>
      <c r="I110" s="1993"/>
      <c r="J110" s="1993"/>
      <c r="K110" s="1995"/>
      <c r="L110" s="1750"/>
      <c r="M110" s="1750"/>
      <c r="N110" s="1750"/>
      <c r="O110" s="1750"/>
      <c r="P110" s="1750"/>
      <c r="Q110" s="1750"/>
      <c r="R110" s="1750"/>
    </row>
    <row r="111" spans="1:18" ht="11.45" customHeight="1" x14ac:dyDescent="0.25">
      <c r="A111" s="1987"/>
      <c r="B111" s="1982"/>
      <c r="C111" s="1993"/>
      <c r="D111" s="1993"/>
      <c r="E111" s="1993"/>
      <c r="F111" s="1993"/>
      <c r="G111" s="1993"/>
      <c r="H111" s="1993"/>
      <c r="I111" s="1993"/>
      <c r="J111" s="1993"/>
      <c r="K111" s="1995"/>
      <c r="L111" s="1750"/>
      <c r="M111" s="1750"/>
      <c r="N111" s="1750"/>
      <c r="O111" s="1750"/>
      <c r="P111" s="1750"/>
      <c r="Q111" s="1750"/>
      <c r="R111" s="1750"/>
    </row>
    <row r="112" spans="1:18" ht="11.45" customHeight="1" x14ac:dyDescent="0.25">
      <c r="A112" s="1987"/>
      <c r="B112" s="1982"/>
      <c r="C112" s="1993"/>
      <c r="D112" s="1993"/>
      <c r="E112" s="1993"/>
      <c r="F112" s="1993"/>
      <c r="G112" s="1993"/>
      <c r="H112" s="1993"/>
      <c r="I112" s="1993"/>
      <c r="J112" s="1993"/>
      <c r="K112" s="1995"/>
      <c r="L112" s="1750"/>
      <c r="M112" s="1750"/>
      <c r="N112" s="1750"/>
      <c r="O112" s="1750"/>
      <c r="P112" s="1750"/>
      <c r="Q112" s="1750"/>
      <c r="R112" s="1750"/>
    </row>
    <row r="113" spans="1:18" ht="5.25" customHeight="1" x14ac:dyDescent="0.25">
      <c r="A113" s="1984"/>
      <c r="B113" s="1982"/>
      <c r="C113" s="1993"/>
      <c r="D113" s="1993"/>
      <c r="E113" s="1993"/>
      <c r="F113" s="1993"/>
      <c r="G113" s="1993"/>
      <c r="H113" s="1993"/>
      <c r="I113" s="1993"/>
      <c r="J113" s="1993"/>
      <c r="K113" s="1740"/>
      <c r="L113" s="1738"/>
      <c r="M113" s="1738"/>
      <c r="N113" s="1738"/>
      <c r="O113" s="1738"/>
      <c r="P113" s="1738"/>
      <c r="Q113" s="1738"/>
      <c r="R113" s="1738"/>
    </row>
    <row r="114" spans="1:18" ht="11.25" customHeight="1" x14ac:dyDescent="0.25">
      <c r="A114" s="1735"/>
      <c r="B114" s="1749"/>
      <c r="C114" s="1995"/>
      <c r="D114" s="1995"/>
      <c r="E114" s="1995"/>
      <c r="F114" s="1995"/>
      <c r="G114" s="1995"/>
      <c r="H114" s="1995"/>
      <c r="I114" s="1995"/>
      <c r="J114" s="1995"/>
      <c r="K114" s="1989"/>
      <c r="L114" s="1751"/>
      <c r="M114" s="1751"/>
      <c r="N114" s="1751"/>
      <c r="O114" s="1751"/>
      <c r="P114" s="1751"/>
      <c r="Q114" s="1751"/>
      <c r="R114" s="1751"/>
    </row>
    <row r="115" spans="1:18" ht="11.25" customHeight="1" x14ac:dyDescent="0.25">
      <c r="A115" s="1742"/>
      <c r="B115" s="1749"/>
      <c r="C115" s="1740"/>
      <c r="D115" s="1740"/>
      <c r="E115" s="1740"/>
      <c r="F115" s="1740"/>
      <c r="G115" s="1740"/>
      <c r="H115" s="1740"/>
      <c r="I115" s="1740"/>
      <c r="J115" s="1740"/>
      <c r="K115" s="1994"/>
      <c r="L115" s="1190"/>
      <c r="M115" s="1190"/>
      <c r="N115" s="1190"/>
      <c r="O115" s="1190"/>
      <c r="P115" s="1190"/>
      <c r="Q115" s="1190"/>
      <c r="R115" s="1190"/>
    </row>
    <row r="116" spans="1:18" ht="11.25" customHeight="1" x14ac:dyDescent="0.25">
      <c r="A116" s="1735"/>
      <c r="B116" s="1739"/>
      <c r="C116" s="1989"/>
      <c r="D116" s="1989"/>
      <c r="E116" s="1989"/>
      <c r="F116" s="1989"/>
      <c r="G116" s="1989"/>
      <c r="H116" s="1989"/>
      <c r="I116" s="1989"/>
      <c r="J116" s="1989"/>
      <c r="K116" s="1994"/>
      <c r="L116" s="1190"/>
      <c r="M116" s="1190"/>
      <c r="N116" s="1190"/>
      <c r="O116" s="1190"/>
      <c r="P116" s="1190"/>
      <c r="Q116" s="1190"/>
      <c r="R116" s="1190"/>
    </row>
    <row r="117" spans="1:18" ht="11.25" customHeight="1" x14ac:dyDescent="0.25">
      <c r="A117" s="1735"/>
      <c r="B117" s="1739"/>
      <c r="C117" s="1994"/>
      <c r="D117" s="1994"/>
      <c r="E117" s="1994"/>
      <c r="F117" s="1994"/>
      <c r="G117" s="1994"/>
      <c r="H117" s="1994"/>
      <c r="I117" s="1994"/>
      <c r="J117" s="1994"/>
      <c r="K117" s="1996"/>
      <c r="L117" s="1752"/>
      <c r="M117" s="1752"/>
      <c r="N117" s="1752"/>
      <c r="O117" s="1752"/>
      <c r="P117" s="1752"/>
      <c r="Q117" s="1752"/>
      <c r="R117" s="1752"/>
    </row>
    <row r="118" spans="1:18" ht="11.25" customHeight="1" x14ac:dyDescent="0.25">
      <c r="A118" s="1735"/>
      <c r="B118" s="1739"/>
      <c r="C118" s="1190"/>
      <c r="D118" s="1190"/>
      <c r="E118" s="1190"/>
      <c r="F118" s="1190"/>
      <c r="G118" s="1190"/>
      <c r="H118" s="1190"/>
      <c r="I118" s="1190"/>
      <c r="J118" s="1190"/>
      <c r="K118" s="1753"/>
      <c r="L118" s="1753"/>
      <c r="M118" s="1753"/>
      <c r="N118" s="1753"/>
      <c r="O118" s="1753"/>
      <c r="P118" s="1753"/>
      <c r="Q118" s="1753"/>
      <c r="R118" s="1753"/>
    </row>
    <row r="119" spans="1:18" ht="11.25" customHeight="1" x14ac:dyDescent="0.25">
      <c r="A119" s="1735"/>
      <c r="B119" s="1739"/>
      <c r="C119" s="1752"/>
      <c r="D119" s="1752"/>
      <c r="E119" s="1752"/>
      <c r="F119" s="1752"/>
      <c r="G119" s="1752"/>
      <c r="H119" s="1752"/>
      <c r="I119" s="1752"/>
      <c r="J119" s="1752"/>
      <c r="K119" s="1753"/>
      <c r="L119" s="1753"/>
      <c r="M119" s="1753"/>
      <c r="N119" s="1753"/>
      <c r="O119" s="1753"/>
      <c r="P119" s="1753"/>
      <c r="Q119" s="1753"/>
      <c r="R119" s="1753"/>
    </row>
    <row r="120" spans="1:18" ht="11.25" customHeight="1" x14ac:dyDescent="0.25">
      <c r="A120" s="1735"/>
      <c r="B120" s="1739"/>
      <c r="C120" s="1753"/>
      <c r="D120" s="1753"/>
      <c r="E120" s="1753"/>
      <c r="F120" s="1753"/>
      <c r="G120" s="1753"/>
      <c r="H120" s="1753"/>
      <c r="I120" s="1753"/>
      <c r="J120" s="1753"/>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39"/>
      <c r="L124" s="139"/>
      <c r="M124" s="139"/>
      <c r="N124" s="139"/>
      <c r="O124" s="139"/>
      <c r="P124" s="139"/>
      <c r="Q124" s="139"/>
      <c r="R124" s="139"/>
    </row>
    <row r="125" spans="1:18" ht="5.0999999999999996" customHeight="1" x14ac:dyDescent="0.25">
      <c r="A125" s="1735"/>
      <c r="B125" s="1739"/>
      <c r="C125" s="1753"/>
      <c r="D125" s="1753"/>
      <c r="E125" s="1753"/>
      <c r="F125" s="1753"/>
      <c r="G125" s="1753"/>
      <c r="H125" s="1753"/>
      <c r="I125" s="1753"/>
      <c r="J125" s="1753"/>
      <c r="K125" s="241"/>
      <c r="L125" s="241"/>
      <c r="M125" s="241"/>
      <c r="N125" s="241"/>
      <c r="O125" s="241"/>
      <c r="P125" s="241"/>
      <c r="Q125" s="241"/>
      <c r="R125" s="241"/>
    </row>
    <row r="126" spans="1:18" s="922" customFormat="1" x14ac:dyDescent="0.25">
      <c r="A126" s="1740"/>
      <c r="B126" s="1739"/>
      <c r="C126" s="139"/>
      <c r="D126" s="139"/>
      <c r="E126" s="139"/>
      <c r="F126" s="139"/>
      <c r="G126" s="139"/>
      <c r="H126" s="139"/>
      <c r="I126" s="139"/>
      <c r="J126" s="139"/>
      <c r="K126" s="899"/>
      <c r="L126" s="899"/>
      <c r="M126" s="899"/>
      <c r="N126" s="899"/>
      <c r="O126" s="899"/>
      <c r="P126" s="899"/>
      <c r="Q126" s="899"/>
      <c r="R126" s="899"/>
    </row>
    <row r="127" spans="1:18" s="922" customFormat="1" x14ac:dyDescent="0.25">
      <c r="A127" s="1741"/>
      <c r="B127" s="1736"/>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4"/>
      <c r="B128" s="1745"/>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5"/>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x14ac:dyDescent="0.25">
      <c r="A131" s="1368"/>
      <c r="B131" s="1745"/>
      <c r="C131" s="899"/>
      <c r="D131" s="899"/>
      <c r="E131" s="899"/>
      <c r="F131" s="899"/>
      <c r="G131" s="899"/>
      <c r="H131" s="899"/>
      <c r="I131" s="899"/>
      <c r="J131" s="899"/>
      <c r="K131" s="116"/>
      <c r="L131" s="116"/>
      <c r="M131" s="116"/>
      <c r="N131" s="116"/>
      <c r="O131" s="116"/>
      <c r="P131" s="116"/>
      <c r="Q131" s="116"/>
      <c r="R131" s="116"/>
    </row>
    <row r="132" spans="1:18" x14ac:dyDescent="0.25">
      <c r="A132" s="1755"/>
      <c r="B132" s="1745"/>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41"/>
    </row>
    <row r="137" spans="1:18" ht="11.25" customHeight="1" x14ac:dyDescent="0.25">
      <c r="B137" s="1741"/>
    </row>
    <row r="138" spans="1:18" ht="11.25" customHeight="1" x14ac:dyDescent="0.25">
      <c r="B138" s="174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55" zoomScaleNormal="100" workbookViewId="0"/>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"&amp;TableA13b</f>
        <v>LIM471 Ephraim Mogale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16" t="str">
        <f>desc</f>
        <v>Description</v>
      </c>
      <c r="B2" s="2678" t="str">
        <f>head27</f>
        <v>Ref</v>
      </c>
      <c r="C2" s="2719" t="s">
        <v>1994</v>
      </c>
      <c r="D2" s="2719" t="str">
        <f>head1b</f>
        <v>2012/13</v>
      </c>
      <c r="E2" s="2719" t="str">
        <f>head1A</f>
        <v>2013/14</v>
      </c>
      <c r="F2" s="2721" t="str">
        <f>Head1</f>
        <v>2014/15</v>
      </c>
      <c r="G2" s="2714" t="str">
        <f>Head2</f>
        <v>Current Year 2015/16</v>
      </c>
      <c r="H2" s="1948" t="str">
        <f>Head3</f>
        <v>2016/17 Medium Term Revenue &amp; Expenditure Framework</v>
      </c>
      <c r="I2" s="1949"/>
      <c r="J2" s="1950"/>
      <c r="K2" s="1734"/>
      <c r="L2" s="1734"/>
      <c r="M2" s="1734"/>
      <c r="N2" s="1734"/>
      <c r="O2" s="1734"/>
      <c r="P2" s="1734"/>
      <c r="Q2" s="1734"/>
      <c r="R2" s="1734"/>
    </row>
    <row r="3" spans="1:18" ht="24.95" customHeight="1" x14ac:dyDescent="0.25">
      <c r="A3" s="2717"/>
      <c r="B3" s="2679"/>
      <c r="C3" s="2720"/>
      <c r="D3" s="2720"/>
      <c r="E3" s="2720"/>
      <c r="F3" s="2722"/>
      <c r="G3" s="2715"/>
      <c r="H3" s="2009" t="str">
        <f>Head9</f>
        <v>Budget Year 2016/17</v>
      </c>
      <c r="I3" s="2010" t="str">
        <f>Head10</f>
        <v>Budget Year +1 2017/18</v>
      </c>
      <c r="J3" s="2011" t="str">
        <f>Head11</f>
        <v>Budget Year +2 2018/19</v>
      </c>
      <c r="K3" s="116"/>
      <c r="L3" s="116"/>
      <c r="M3" s="116"/>
      <c r="N3" s="116"/>
      <c r="O3" s="116"/>
      <c r="P3" s="116"/>
      <c r="Q3" s="116"/>
      <c r="R3" s="116"/>
    </row>
    <row r="4" spans="1:18" ht="12.75" customHeight="1" x14ac:dyDescent="0.25">
      <c r="A4" s="1952" t="s">
        <v>2016</v>
      </c>
      <c r="B4" s="1959"/>
      <c r="C4" s="1960"/>
      <c r="D4" s="1960"/>
      <c r="E4" s="1960"/>
      <c r="F4" s="1961"/>
      <c r="G4" s="1962"/>
      <c r="H4" s="1962"/>
      <c r="I4" s="1960"/>
      <c r="J4" s="1961"/>
      <c r="K4" s="116"/>
      <c r="L4" s="116"/>
      <c r="M4" s="116"/>
      <c r="N4" s="116"/>
      <c r="O4" s="116"/>
      <c r="P4" s="116"/>
      <c r="Q4" s="116"/>
      <c r="R4" s="116"/>
    </row>
    <row r="5" spans="1:18" ht="12.75" customHeight="1" x14ac:dyDescent="0.25">
      <c r="A5" s="2407" t="s">
        <v>2173</v>
      </c>
      <c r="B5" s="1959"/>
      <c r="C5" s="2401"/>
      <c r="D5" s="2401"/>
      <c r="E5" s="2401"/>
      <c r="F5" s="2405"/>
      <c r="G5" s="2406"/>
      <c r="H5" s="2406"/>
      <c r="I5" s="2401"/>
      <c r="J5" s="2405"/>
      <c r="K5" s="1550"/>
      <c r="L5" s="1550"/>
      <c r="M5" s="1550"/>
      <c r="N5" s="1550"/>
      <c r="O5" s="1550"/>
      <c r="P5" s="1550"/>
      <c r="Q5" s="1550"/>
      <c r="R5" s="1550"/>
    </row>
    <row r="6" spans="1:18" ht="12.75" customHeight="1" x14ac:dyDescent="0.25">
      <c r="A6" s="2407"/>
      <c r="B6" s="1958"/>
      <c r="C6" s="2401"/>
      <c r="D6" s="2401"/>
      <c r="E6" s="2401"/>
      <c r="F6" s="2405"/>
      <c r="G6" s="2406"/>
      <c r="H6" s="2406"/>
      <c r="I6" s="2401"/>
      <c r="J6" s="2405"/>
      <c r="K6" s="1550"/>
      <c r="L6" s="1550"/>
      <c r="M6" s="1550"/>
      <c r="N6" s="1550"/>
      <c r="O6" s="1550"/>
      <c r="P6" s="1550"/>
      <c r="Q6" s="1550"/>
      <c r="R6" s="1550"/>
    </row>
    <row r="7" spans="1:18" ht="12.75" customHeight="1" x14ac:dyDescent="0.25">
      <c r="A7" s="2407"/>
      <c r="B7" s="1958"/>
      <c r="C7" s="2401"/>
      <c r="D7" s="2401"/>
      <c r="E7" s="2401"/>
      <c r="F7" s="2405"/>
      <c r="G7" s="2406"/>
      <c r="H7" s="2406"/>
      <c r="I7" s="2401"/>
      <c r="J7" s="2405"/>
      <c r="K7" s="1550"/>
      <c r="L7" s="1550"/>
      <c r="M7" s="1550"/>
      <c r="N7" s="1550"/>
      <c r="O7" s="1550"/>
      <c r="P7" s="1550"/>
      <c r="Q7" s="1550"/>
      <c r="R7" s="1550"/>
    </row>
    <row r="8" spans="1:18" ht="12.75" customHeight="1" x14ac:dyDescent="0.25">
      <c r="A8" s="2407"/>
      <c r="B8" s="1958"/>
      <c r="C8" s="2401"/>
      <c r="D8" s="2401"/>
      <c r="E8" s="2401"/>
      <c r="F8" s="2405"/>
      <c r="G8" s="2406"/>
      <c r="H8" s="2406"/>
      <c r="I8" s="2401"/>
      <c r="J8" s="2405"/>
      <c r="K8" s="1550"/>
      <c r="L8" s="1550"/>
      <c r="M8" s="1550"/>
      <c r="N8" s="1550"/>
      <c r="O8" s="1550"/>
      <c r="P8" s="1550"/>
      <c r="Q8" s="1550"/>
      <c r="R8" s="1550"/>
    </row>
    <row r="9" spans="1:18" ht="12.75" customHeight="1" x14ac:dyDescent="0.25">
      <c r="A9" s="2407"/>
      <c r="B9" s="1958"/>
      <c r="C9" s="2401"/>
      <c r="D9" s="2401"/>
      <c r="E9" s="2401"/>
      <c r="F9" s="2405"/>
      <c r="G9" s="2406"/>
      <c r="H9" s="2406"/>
      <c r="I9" s="2401"/>
      <c r="J9" s="2405"/>
      <c r="K9" s="1550"/>
      <c r="L9" s="1550"/>
      <c r="M9" s="1550"/>
      <c r="N9" s="1550"/>
      <c r="O9" s="1550"/>
      <c r="P9" s="1550"/>
      <c r="Q9" s="1550"/>
      <c r="R9" s="1550"/>
    </row>
    <row r="10" spans="1:18" ht="12.75" customHeight="1" x14ac:dyDescent="0.25">
      <c r="A10" s="2407"/>
      <c r="B10" s="1958"/>
      <c r="C10" s="2401"/>
      <c r="D10" s="2401"/>
      <c r="E10" s="2401"/>
      <c r="F10" s="2405"/>
      <c r="G10" s="2406"/>
      <c r="H10" s="2406"/>
      <c r="I10" s="2401"/>
      <c r="J10" s="2405"/>
      <c r="K10" s="1550"/>
      <c r="L10" s="1550"/>
      <c r="M10" s="1550"/>
      <c r="N10" s="1550"/>
      <c r="O10" s="1550"/>
      <c r="P10" s="1550"/>
      <c r="Q10" s="1550"/>
      <c r="R10" s="1550"/>
    </row>
    <row r="11" spans="1:18" ht="12.75" customHeight="1" x14ac:dyDescent="0.25">
      <c r="A11" s="2407"/>
      <c r="B11" s="1958"/>
      <c r="C11" s="2401"/>
      <c r="D11" s="2401"/>
      <c r="E11" s="2401"/>
      <c r="F11" s="2405"/>
      <c r="G11" s="2406"/>
      <c r="H11" s="2406"/>
      <c r="I11" s="2401"/>
      <c r="J11" s="2405"/>
      <c r="K11" s="1550"/>
      <c r="L11" s="1550"/>
      <c r="M11" s="1550"/>
      <c r="N11" s="1550"/>
      <c r="O11" s="1550"/>
      <c r="P11" s="1550"/>
      <c r="Q11" s="1550"/>
      <c r="R11" s="1550"/>
    </row>
    <row r="12" spans="1:18" ht="12.75" customHeight="1" x14ac:dyDescent="0.25">
      <c r="A12" s="2407"/>
      <c r="B12" s="1958"/>
      <c r="C12" s="2401"/>
      <c r="D12" s="2401"/>
      <c r="E12" s="2401"/>
      <c r="F12" s="2405"/>
      <c r="G12" s="2406"/>
      <c r="H12" s="2406"/>
      <c r="I12" s="2401"/>
      <c r="J12" s="2405"/>
      <c r="K12" s="1550"/>
      <c r="L12" s="1550"/>
      <c r="M12" s="1550"/>
      <c r="N12" s="1550"/>
      <c r="O12" s="1550"/>
      <c r="P12" s="1550"/>
      <c r="Q12" s="1550"/>
      <c r="R12" s="1550"/>
    </row>
    <row r="13" spans="1:18" ht="6" customHeight="1" x14ac:dyDescent="0.25">
      <c r="A13" s="1965"/>
      <c r="B13" s="1959"/>
      <c r="C13" s="1959"/>
      <c r="D13" s="1966"/>
      <c r="E13" s="1966"/>
      <c r="F13" s="1967"/>
      <c r="G13" s="1968"/>
      <c r="H13" s="1968"/>
      <c r="I13" s="1966"/>
      <c r="J13" s="1967"/>
      <c r="K13" s="1550"/>
      <c r="L13" s="1550"/>
      <c r="M13" s="1550"/>
      <c r="N13" s="1550"/>
      <c r="O13" s="1550"/>
      <c r="P13" s="1550"/>
      <c r="Q13" s="1550"/>
      <c r="R13" s="1550"/>
    </row>
    <row r="14" spans="1:18" ht="12.75" customHeight="1" x14ac:dyDescent="0.25">
      <c r="A14" s="1952" t="s">
        <v>2022</v>
      </c>
      <c r="B14" s="1959"/>
      <c r="C14" s="1959"/>
      <c r="D14" s="1960"/>
      <c r="E14" s="1960"/>
      <c r="F14" s="1961"/>
      <c r="G14" s="1962"/>
      <c r="H14" s="1962"/>
      <c r="I14" s="1960"/>
      <c r="J14" s="1961"/>
      <c r="K14" s="1550"/>
      <c r="L14" s="1550"/>
      <c r="M14" s="1550"/>
      <c r="N14" s="1550"/>
      <c r="O14" s="1550"/>
      <c r="P14" s="1550"/>
      <c r="Q14" s="1550"/>
      <c r="R14" s="1550"/>
    </row>
    <row r="15" spans="1:18" ht="12.75" customHeight="1" x14ac:dyDescent="0.25">
      <c r="A15" s="2407" t="s">
        <v>2166</v>
      </c>
      <c r="B15" s="1958"/>
      <c r="C15" s="2401" t="s">
        <v>2030</v>
      </c>
      <c r="D15" s="2401"/>
      <c r="E15" s="2401"/>
      <c r="F15" s="2405"/>
      <c r="G15" s="2406"/>
      <c r="H15" s="2406"/>
      <c r="I15" s="2401"/>
      <c r="J15" s="2405"/>
      <c r="K15" s="1550"/>
      <c r="L15" s="1550"/>
      <c r="M15" s="1550"/>
      <c r="N15" s="1550"/>
      <c r="O15" s="1550"/>
      <c r="P15" s="1550"/>
      <c r="Q15" s="1550"/>
      <c r="R15" s="1550"/>
    </row>
    <row r="16" spans="1:18" ht="12.75" customHeight="1" x14ac:dyDescent="0.25">
      <c r="A16" s="2407"/>
      <c r="B16" s="1958"/>
      <c r="C16" s="2401" t="s">
        <v>2030</v>
      </c>
      <c r="D16" s="2401"/>
      <c r="E16" s="2401"/>
      <c r="F16" s="2405"/>
      <c r="G16" s="2406"/>
      <c r="H16" s="2406"/>
      <c r="I16" s="2401"/>
      <c r="J16" s="2405"/>
      <c r="K16" s="1743"/>
      <c r="L16" s="1743"/>
      <c r="M16" s="1743"/>
      <c r="N16" s="1743"/>
      <c r="O16" s="1743"/>
      <c r="P16" s="1743"/>
      <c r="Q16" s="1743"/>
      <c r="R16" s="1743"/>
    </row>
    <row r="17" spans="1:18" ht="12.75" customHeight="1" x14ac:dyDescent="0.25">
      <c r="A17" s="2407"/>
      <c r="B17" s="1958"/>
      <c r="C17" s="2401" t="s">
        <v>2030</v>
      </c>
      <c r="D17" s="2401"/>
      <c r="E17" s="2401"/>
      <c r="F17" s="2405"/>
      <c r="G17" s="2406"/>
      <c r="H17" s="2406"/>
      <c r="I17" s="2401"/>
      <c r="J17" s="2405"/>
      <c r="K17" s="1745"/>
      <c r="L17" s="1745"/>
      <c r="M17" s="1745"/>
      <c r="N17" s="1745"/>
      <c r="O17" s="1745"/>
      <c r="P17" s="1745"/>
      <c r="Q17" s="1745"/>
      <c r="R17" s="1745"/>
    </row>
    <row r="18" spans="1:18" ht="12.75" customHeight="1" x14ac:dyDescent="0.25">
      <c r="A18" s="2407"/>
      <c r="B18" s="1958"/>
      <c r="C18" s="2401" t="s">
        <v>2030</v>
      </c>
      <c r="D18" s="2401"/>
      <c r="E18" s="2401"/>
      <c r="F18" s="2405"/>
      <c r="G18" s="2406"/>
      <c r="H18" s="2406"/>
      <c r="I18" s="2401"/>
      <c r="J18" s="2405"/>
      <c r="K18" s="1746"/>
      <c r="L18" s="1746"/>
      <c r="M18" s="1746"/>
      <c r="N18" s="1746"/>
      <c r="O18" s="1746"/>
      <c r="P18" s="1746"/>
      <c r="Q18" s="1746"/>
      <c r="R18" s="1746"/>
    </row>
    <row r="19" spans="1:18" ht="12.75" customHeight="1" x14ac:dyDescent="0.25">
      <c r="A19" s="2407"/>
      <c r="B19" s="1958"/>
      <c r="C19" s="2401" t="s">
        <v>2030</v>
      </c>
      <c r="D19" s="2401"/>
      <c r="E19" s="2401"/>
      <c r="F19" s="2405"/>
      <c r="G19" s="2406"/>
      <c r="H19" s="2406"/>
      <c r="I19" s="2401"/>
      <c r="J19" s="2405"/>
      <c r="K19" s="1745"/>
      <c r="L19" s="1745"/>
      <c r="M19" s="1745"/>
      <c r="N19" s="1745"/>
      <c r="O19" s="1745"/>
      <c r="P19" s="1745"/>
      <c r="Q19" s="1745"/>
      <c r="R19" s="1745"/>
    </row>
    <row r="20" spans="1:18" ht="12.75" customHeight="1" x14ac:dyDescent="0.25">
      <c r="A20" s="2407"/>
      <c r="B20" s="1958"/>
      <c r="C20" s="2401" t="s">
        <v>2030</v>
      </c>
      <c r="D20" s="2401"/>
      <c r="E20" s="2401"/>
      <c r="F20" s="2405"/>
      <c r="G20" s="2406"/>
      <c r="H20" s="2406"/>
      <c r="I20" s="2401"/>
      <c r="J20" s="2405"/>
      <c r="K20" s="1745"/>
      <c r="L20" s="1745"/>
      <c r="M20" s="1745"/>
      <c r="N20" s="1745"/>
      <c r="O20" s="1745"/>
      <c r="P20" s="1745"/>
      <c r="Q20" s="1745"/>
      <c r="R20" s="1745"/>
    </row>
    <row r="21" spans="1:18" ht="12.75" customHeight="1" x14ac:dyDescent="0.25">
      <c r="A21" s="2407"/>
      <c r="B21" s="1958"/>
      <c r="C21" s="2401" t="s">
        <v>2030</v>
      </c>
      <c r="D21" s="2401"/>
      <c r="E21" s="2401"/>
      <c r="F21" s="2405"/>
      <c r="G21" s="2406"/>
      <c r="H21" s="2406"/>
      <c r="I21" s="2401"/>
      <c r="J21" s="2405"/>
      <c r="K21" s="1745"/>
      <c r="L21" s="1745"/>
      <c r="M21" s="1745"/>
      <c r="N21" s="1745"/>
      <c r="O21" s="1745"/>
      <c r="P21" s="1745"/>
      <c r="Q21" s="1745"/>
      <c r="R21" s="1745"/>
    </row>
    <row r="22" spans="1:18" ht="12.75" customHeight="1" x14ac:dyDescent="0.25">
      <c r="A22" s="2407"/>
      <c r="B22" s="1958"/>
      <c r="C22" s="2401" t="s">
        <v>2030</v>
      </c>
      <c r="D22" s="2401"/>
      <c r="E22" s="2401"/>
      <c r="F22" s="2405"/>
      <c r="G22" s="2406"/>
      <c r="H22" s="2406"/>
      <c r="I22" s="2401"/>
      <c r="J22" s="2405"/>
      <c r="K22" s="1745"/>
      <c r="L22" s="1745"/>
      <c r="M22" s="1745"/>
      <c r="N22" s="1745"/>
      <c r="O22" s="1745"/>
      <c r="P22" s="1745"/>
      <c r="Q22" s="1745"/>
      <c r="R22" s="1745"/>
    </row>
    <row r="23" spans="1:18" ht="12.75" customHeight="1" x14ac:dyDescent="0.25">
      <c r="A23" s="2407"/>
      <c r="B23" s="1958"/>
      <c r="C23" s="2401" t="s">
        <v>2030</v>
      </c>
      <c r="D23" s="2401"/>
      <c r="E23" s="2401"/>
      <c r="F23" s="2405"/>
      <c r="G23" s="2406"/>
      <c r="H23" s="2406"/>
      <c r="I23" s="2401"/>
      <c r="J23" s="2405"/>
      <c r="K23" s="1745"/>
      <c r="L23" s="1745"/>
      <c r="M23" s="1745"/>
      <c r="N23" s="1745"/>
      <c r="O23" s="1745"/>
      <c r="P23" s="1745"/>
      <c r="Q23" s="1745"/>
      <c r="R23" s="1745"/>
    </row>
    <row r="24" spans="1:18" ht="12.75" customHeight="1" x14ac:dyDescent="0.25">
      <c r="A24" s="2407"/>
      <c r="B24" s="1958"/>
      <c r="C24" s="2401" t="s">
        <v>2030</v>
      </c>
      <c r="D24" s="2401"/>
      <c r="E24" s="2401"/>
      <c r="F24" s="2405"/>
      <c r="G24" s="2406"/>
      <c r="H24" s="2406"/>
      <c r="I24" s="2401"/>
      <c r="J24" s="2405"/>
      <c r="K24" s="1745"/>
      <c r="L24" s="1745"/>
      <c r="M24" s="1745"/>
      <c r="N24" s="1745"/>
      <c r="O24" s="1745"/>
      <c r="P24" s="1745"/>
      <c r="Q24" s="1745"/>
      <c r="R24" s="1745"/>
    </row>
    <row r="25" spans="1:18" ht="6" customHeight="1" x14ac:dyDescent="0.25">
      <c r="A25" s="2012"/>
      <c r="B25" s="1958"/>
      <c r="C25" s="1959"/>
      <c r="D25" s="1960"/>
      <c r="E25" s="1960"/>
      <c r="F25" s="1961"/>
      <c r="G25" s="1962"/>
      <c r="H25" s="1962"/>
      <c r="I25" s="1960"/>
      <c r="J25" s="1961"/>
      <c r="K25" s="480"/>
      <c r="L25" s="480"/>
      <c r="M25" s="480"/>
      <c r="N25" s="480"/>
      <c r="O25" s="480"/>
      <c r="P25" s="480"/>
      <c r="Q25" s="480"/>
      <c r="R25" s="480"/>
    </row>
    <row r="26" spans="1:18" ht="12.75" customHeight="1" x14ac:dyDescent="0.25">
      <c r="A26" s="1952" t="s">
        <v>2034</v>
      </c>
      <c r="B26" s="1958"/>
      <c r="C26" s="1959"/>
      <c r="D26" s="1960"/>
      <c r="E26" s="1960"/>
      <c r="F26" s="1961"/>
      <c r="G26" s="1962"/>
      <c r="H26" s="1962"/>
      <c r="I26" s="1960"/>
      <c r="J26" s="1961"/>
      <c r="K26" s="480"/>
      <c r="L26" s="480"/>
      <c r="M26" s="480"/>
      <c r="N26" s="480"/>
      <c r="O26" s="480"/>
      <c r="P26" s="480"/>
      <c r="Q26" s="480"/>
      <c r="R26" s="480"/>
    </row>
    <row r="27" spans="1:18" ht="12.75" customHeight="1" x14ac:dyDescent="0.25">
      <c r="A27" s="2407" t="s">
        <v>2166</v>
      </c>
      <c r="B27" s="1958"/>
      <c r="C27" s="2401" t="s">
        <v>2037</v>
      </c>
      <c r="D27" s="2401"/>
      <c r="E27" s="2401"/>
      <c r="F27" s="2405"/>
      <c r="G27" s="2406"/>
      <c r="H27" s="2406"/>
      <c r="I27" s="2401"/>
      <c r="J27" s="2405"/>
      <c r="K27" s="1747"/>
      <c r="L27" s="1747"/>
      <c r="M27" s="1747"/>
      <c r="N27" s="1747"/>
      <c r="O27" s="1747"/>
      <c r="P27" s="1747"/>
      <c r="Q27" s="1747"/>
      <c r="R27" s="1747"/>
    </row>
    <row r="28" spans="1:18" ht="12.75" customHeight="1" x14ac:dyDescent="0.25">
      <c r="A28" s="2407"/>
      <c r="B28" s="1958"/>
      <c r="C28" s="2401" t="s">
        <v>2037</v>
      </c>
      <c r="D28" s="2401"/>
      <c r="E28" s="2401"/>
      <c r="F28" s="2405"/>
      <c r="G28" s="2406"/>
      <c r="H28" s="2406"/>
      <c r="I28" s="2401"/>
      <c r="J28" s="2405"/>
      <c r="K28" s="1747"/>
      <c r="L28" s="1747"/>
      <c r="M28" s="1747"/>
      <c r="N28" s="1747"/>
      <c r="O28" s="1747"/>
      <c r="P28" s="1747"/>
      <c r="Q28" s="1747"/>
      <c r="R28" s="1747"/>
    </row>
    <row r="29" spans="1:18" ht="12.75" customHeight="1" x14ac:dyDescent="0.25">
      <c r="A29" s="2407"/>
      <c r="B29" s="1958"/>
      <c r="C29" s="2401" t="s">
        <v>2037</v>
      </c>
      <c r="D29" s="2401"/>
      <c r="E29" s="2401"/>
      <c r="F29" s="2405"/>
      <c r="G29" s="2406"/>
      <c r="H29" s="2406"/>
      <c r="I29" s="2401"/>
      <c r="J29" s="2405"/>
      <c r="K29" s="1747"/>
      <c r="L29" s="1747"/>
      <c r="M29" s="1747"/>
      <c r="N29" s="1747"/>
      <c r="O29" s="1747"/>
      <c r="P29" s="1747"/>
      <c r="Q29" s="1747"/>
      <c r="R29" s="1747"/>
    </row>
    <row r="30" spans="1:18" ht="12.75" customHeight="1" x14ac:dyDescent="0.25">
      <c r="A30" s="2407"/>
      <c r="B30" s="1958"/>
      <c r="C30" s="2401" t="s">
        <v>2037</v>
      </c>
      <c r="D30" s="2401"/>
      <c r="E30" s="2401"/>
      <c r="F30" s="2405"/>
      <c r="G30" s="2406"/>
      <c r="H30" s="2406"/>
      <c r="I30" s="2401"/>
      <c r="J30" s="2405"/>
      <c r="K30" s="1747"/>
      <c r="L30" s="1747"/>
      <c r="M30" s="1747"/>
      <c r="N30" s="1747"/>
      <c r="O30" s="1747"/>
      <c r="P30" s="1747"/>
      <c r="Q30" s="1747"/>
      <c r="R30" s="1747"/>
    </row>
    <row r="31" spans="1:18" ht="12.75" customHeight="1" x14ac:dyDescent="0.25">
      <c r="A31" s="2407"/>
      <c r="B31" s="1958"/>
      <c r="C31" s="2401" t="s">
        <v>2037</v>
      </c>
      <c r="D31" s="2401"/>
      <c r="E31" s="2401"/>
      <c r="F31" s="2405"/>
      <c r="G31" s="2406"/>
      <c r="H31" s="2406"/>
      <c r="I31" s="2401"/>
      <c r="J31" s="2405"/>
      <c r="K31" s="1747"/>
      <c r="L31" s="1747"/>
      <c r="M31" s="1747"/>
      <c r="N31" s="1747"/>
      <c r="O31" s="1747"/>
      <c r="P31" s="1747"/>
      <c r="Q31" s="1747"/>
      <c r="R31" s="1747"/>
    </row>
    <row r="32" spans="1:18" ht="12.75" customHeight="1" x14ac:dyDescent="0.25">
      <c r="A32" s="2407"/>
      <c r="B32" s="1958"/>
      <c r="C32" s="2401" t="s">
        <v>2037</v>
      </c>
      <c r="D32" s="2401"/>
      <c r="E32" s="2401"/>
      <c r="F32" s="2405"/>
      <c r="G32" s="2406"/>
      <c r="H32" s="2406"/>
      <c r="I32" s="2401"/>
      <c r="J32" s="2405"/>
      <c r="K32" s="1747"/>
      <c r="L32" s="1747"/>
      <c r="M32" s="1747"/>
      <c r="N32" s="1747"/>
      <c r="O32" s="1747"/>
      <c r="P32" s="1747"/>
      <c r="Q32" s="1747"/>
      <c r="R32" s="1747"/>
    </row>
    <row r="33" spans="1:19" ht="12.75" customHeight="1" x14ac:dyDescent="0.25">
      <c r="A33" s="2407"/>
      <c r="B33" s="1958"/>
      <c r="C33" s="2401" t="s">
        <v>2037</v>
      </c>
      <c r="D33" s="2401"/>
      <c r="E33" s="2401"/>
      <c r="F33" s="2405"/>
      <c r="G33" s="2406"/>
      <c r="H33" s="2406"/>
      <c r="I33" s="2401"/>
      <c r="J33" s="2405"/>
      <c r="K33" s="1737"/>
      <c r="L33" s="1737"/>
      <c r="M33" s="1737"/>
      <c r="N33" s="1737"/>
      <c r="O33" s="1737"/>
      <c r="P33" s="1737"/>
      <c r="Q33" s="1737"/>
      <c r="R33" s="1737"/>
    </row>
    <row r="34" spans="1:19" ht="12.75" customHeight="1" x14ac:dyDescent="0.25">
      <c r="A34" s="2407"/>
      <c r="B34" s="1958"/>
      <c r="C34" s="2401" t="s">
        <v>2037</v>
      </c>
      <c r="D34" s="2401"/>
      <c r="E34" s="2401"/>
      <c r="F34" s="2405"/>
      <c r="G34" s="2406"/>
      <c r="H34" s="2406"/>
      <c r="I34" s="2401"/>
      <c r="J34" s="2405"/>
      <c r="K34" s="1748"/>
      <c r="L34" s="1748"/>
      <c r="M34" s="1748"/>
      <c r="N34" s="1748"/>
      <c r="O34" s="1748"/>
      <c r="P34" s="1748"/>
      <c r="Q34" s="1748"/>
      <c r="R34" s="1748"/>
    </row>
    <row r="35" spans="1:19" ht="12.75" customHeight="1" x14ac:dyDescent="0.25">
      <c r="A35" s="2407"/>
      <c r="B35" s="1958"/>
      <c r="C35" s="2401" t="s">
        <v>2037</v>
      </c>
      <c r="D35" s="2401"/>
      <c r="E35" s="2401"/>
      <c r="F35" s="2405"/>
      <c r="G35" s="2406"/>
      <c r="H35" s="2406"/>
      <c r="I35" s="2401"/>
      <c r="J35" s="2405"/>
      <c r="K35" s="1748"/>
      <c r="L35" s="1748"/>
      <c r="M35" s="1748"/>
      <c r="N35" s="1748"/>
      <c r="O35" s="1748"/>
      <c r="P35" s="1748"/>
      <c r="Q35" s="1748"/>
      <c r="R35" s="1748"/>
    </row>
    <row r="36" spans="1:19" ht="5.0999999999999996" customHeight="1" x14ac:dyDescent="0.25">
      <c r="A36" s="2013"/>
      <c r="B36" s="1959"/>
      <c r="C36" s="1959"/>
      <c r="D36" s="1960"/>
      <c r="E36" s="1960"/>
      <c r="F36" s="1961"/>
      <c r="G36" s="1962"/>
      <c r="H36" s="1962"/>
      <c r="I36" s="1960"/>
      <c r="J36" s="1961"/>
      <c r="K36" s="1750"/>
      <c r="L36" s="1750"/>
      <c r="M36" s="1750"/>
      <c r="N36" s="1750"/>
      <c r="O36" s="1750"/>
      <c r="P36" s="1750"/>
      <c r="Q36" s="1750"/>
      <c r="R36" s="1750"/>
    </row>
    <row r="37" spans="1:19" ht="12.75" customHeight="1" x14ac:dyDescent="0.25">
      <c r="A37" s="1952" t="s">
        <v>2041</v>
      </c>
      <c r="B37" s="1958"/>
      <c r="C37" s="1959"/>
      <c r="D37" s="1960"/>
      <c r="E37" s="1960"/>
      <c r="F37" s="1961"/>
      <c r="G37" s="1962"/>
      <c r="H37" s="1962"/>
      <c r="I37" s="1960"/>
      <c r="J37" s="1961"/>
      <c r="K37" s="1738"/>
      <c r="L37" s="1738"/>
      <c r="M37" s="1738"/>
      <c r="N37" s="1738"/>
      <c r="O37" s="1738"/>
      <c r="P37" s="1738"/>
      <c r="Q37" s="1738"/>
      <c r="R37" s="1738"/>
    </row>
    <row r="38" spans="1:19" ht="12.75" customHeight="1" x14ac:dyDescent="0.25">
      <c r="A38" s="2407" t="s">
        <v>2166</v>
      </c>
      <c r="B38" s="1958"/>
      <c r="C38" s="2401" t="s">
        <v>2045</v>
      </c>
      <c r="D38" s="2401"/>
      <c r="E38" s="2401"/>
      <c r="F38" s="2405"/>
      <c r="G38" s="2406"/>
      <c r="H38" s="2406"/>
      <c r="I38" s="2401"/>
      <c r="J38" s="2405"/>
      <c r="K38" s="1751"/>
      <c r="L38" s="1751"/>
      <c r="M38" s="1751"/>
      <c r="N38" s="1751"/>
      <c r="O38" s="1751"/>
      <c r="P38" s="1751"/>
      <c r="Q38" s="1751"/>
      <c r="R38" s="1751"/>
    </row>
    <row r="39" spans="1:19" ht="12.75" customHeight="1" x14ac:dyDescent="0.25">
      <c r="A39" s="2407"/>
      <c r="B39" s="1958"/>
      <c r="C39" s="2401" t="s">
        <v>2045</v>
      </c>
      <c r="D39" s="2401"/>
      <c r="E39" s="2401"/>
      <c r="F39" s="2405"/>
      <c r="G39" s="2406"/>
      <c r="H39" s="2406"/>
      <c r="I39" s="2401"/>
      <c r="J39" s="2405"/>
      <c r="K39" s="1190"/>
      <c r="L39" s="1190"/>
      <c r="M39" s="1190"/>
      <c r="N39" s="1190"/>
      <c r="O39" s="1190"/>
      <c r="P39" s="1190"/>
      <c r="Q39" s="1190"/>
      <c r="R39" s="1190"/>
      <c r="S39" s="88">
        <f>SUM(C39:R39)</f>
        <v>0</v>
      </c>
    </row>
    <row r="40" spans="1:19" ht="12.75" customHeight="1" x14ac:dyDescent="0.25">
      <c r="A40" s="2407"/>
      <c r="B40" s="1958"/>
      <c r="C40" s="2401" t="s">
        <v>2045</v>
      </c>
      <c r="D40" s="2401"/>
      <c r="E40" s="2401"/>
      <c r="F40" s="2405"/>
      <c r="G40" s="2406"/>
      <c r="H40" s="2406"/>
      <c r="I40" s="2401"/>
      <c r="J40" s="2405"/>
      <c r="K40" s="1190"/>
      <c r="L40" s="1190"/>
      <c r="M40" s="1190"/>
      <c r="N40" s="1190"/>
      <c r="O40" s="1190"/>
      <c r="P40" s="1190"/>
      <c r="Q40" s="1190"/>
      <c r="R40" s="1190"/>
      <c r="S40" s="88">
        <f>SUM(C40:R40)</f>
        <v>0</v>
      </c>
    </row>
    <row r="41" spans="1:19" ht="12.75" customHeight="1" x14ac:dyDescent="0.25">
      <c r="A41" s="2407"/>
      <c r="B41" s="1958"/>
      <c r="C41" s="2401" t="s">
        <v>2045</v>
      </c>
      <c r="D41" s="2401"/>
      <c r="E41" s="2401"/>
      <c r="F41" s="2405"/>
      <c r="G41" s="2406"/>
      <c r="H41" s="2406"/>
      <c r="I41" s="2401"/>
      <c r="J41" s="2405"/>
      <c r="K41" s="1752"/>
      <c r="L41" s="1752"/>
      <c r="M41" s="1752"/>
      <c r="N41" s="1752"/>
      <c r="O41" s="1752"/>
      <c r="P41" s="1752"/>
      <c r="Q41" s="1752"/>
      <c r="R41" s="1752"/>
    </row>
    <row r="42" spans="1:19" ht="12.75" customHeight="1" x14ac:dyDescent="0.25">
      <c r="A42" s="2407"/>
      <c r="B42" s="1958"/>
      <c r="C42" s="2401" t="s">
        <v>2045</v>
      </c>
      <c r="D42" s="2401"/>
      <c r="E42" s="2401"/>
      <c r="F42" s="2405"/>
      <c r="G42" s="2406"/>
      <c r="H42" s="2406"/>
      <c r="I42" s="2401"/>
      <c r="J42" s="2405"/>
      <c r="K42" s="1753"/>
      <c r="L42" s="1753"/>
      <c r="M42" s="1753"/>
      <c r="N42" s="1753"/>
      <c r="O42" s="1753"/>
      <c r="P42" s="1753"/>
      <c r="Q42" s="1753"/>
      <c r="R42" s="1753"/>
    </row>
    <row r="43" spans="1:19" ht="12.75" customHeight="1" x14ac:dyDescent="0.25">
      <c r="A43" s="2407"/>
      <c r="B43" s="1958"/>
      <c r="C43" s="2401" t="s">
        <v>2045</v>
      </c>
      <c r="D43" s="2401"/>
      <c r="E43" s="2401"/>
      <c r="F43" s="2405"/>
      <c r="G43" s="2406"/>
      <c r="H43" s="2406"/>
      <c r="I43" s="2401"/>
      <c r="J43" s="2405"/>
      <c r="K43" s="1753"/>
      <c r="L43" s="1753"/>
      <c r="M43" s="1753"/>
      <c r="N43" s="1753"/>
      <c r="O43" s="1753"/>
      <c r="P43" s="1753"/>
      <c r="Q43" s="1753"/>
      <c r="R43" s="1753"/>
    </row>
    <row r="44" spans="1:19" ht="12.75" customHeight="1" x14ac:dyDescent="0.25">
      <c r="A44" s="2407"/>
      <c r="B44" s="1958"/>
      <c r="C44" s="2401" t="s">
        <v>2045</v>
      </c>
      <c r="D44" s="2401"/>
      <c r="E44" s="2401"/>
      <c r="F44" s="2405"/>
      <c r="G44" s="2406"/>
      <c r="H44" s="2406"/>
      <c r="I44" s="2401"/>
      <c r="J44" s="2405"/>
      <c r="K44" s="1753"/>
      <c r="L44" s="1753"/>
      <c r="M44" s="1753"/>
      <c r="N44" s="1753"/>
      <c r="O44" s="1753"/>
      <c r="P44" s="1753"/>
      <c r="Q44" s="1753"/>
      <c r="R44" s="1753"/>
    </row>
    <row r="45" spans="1:19" ht="12.75" customHeight="1" x14ac:dyDescent="0.25">
      <c r="A45" s="2407"/>
      <c r="B45" s="1958"/>
      <c r="C45" s="2401" t="s">
        <v>2045</v>
      </c>
      <c r="D45" s="2401"/>
      <c r="E45" s="2401"/>
      <c r="F45" s="2405"/>
      <c r="G45" s="2406"/>
      <c r="H45" s="2406"/>
      <c r="I45" s="2401"/>
      <c r="J45" s="2405"/>
      <c r="K45" s="1753"/>
      <c r="L45" s="1753"/>
      <c r="M45" s="1753"/>
      <c r="N45" s="1753"/>
      <c r="O45" s="1753"/>
      <c r="P45" s="1753"/>
      <c r="Q45" s="1753"/>
      <c r="R45" s="1753"/>
    </row>
    <row r="46" spans="1:19" ht="12.75" customHeight="1" x14ac:dyDescent="0.25">
      <c r="A46" s="2407"/>
      <c r="B46" s="1958"/>
      <c r="C46" s="2401" t="s">
        <v>2045</v>
      </c>
      <c r="D46" s="2401"/>
      <c r="E46" s="2401"/>
      <c r="F46" s="2405"/>
      <c r="G46" s="2406"/>
      <c r="H46" s="2406"/>
      <c r="I46" s="2401"/>
      <c r="J46" s="2405"/>
      <c r="K46" s="1753"/>
      <c r="L46" s="1753"/>
      <c r="M46" s="1753"/>
      <c r="N46" s="1753"/>
      <c r="O46" s="1753"/>
      <c r="P46" s="1753"/>
      <c r="Q46" s="1753"/>
      <c r="R46" s="1753"/>
    </row>
    <row r="47" spans="1:19" ht="12.75" customHeight="1" x14ac:dyDescent="0.25">
      <c r="A47" s="2407"/>
      <c r="B47" s="1958"/>
      <c r="C47" s="2401" t="s">
        <v>2045</v>
      </c>
      <c r="D47" s="2401"/>
      <c r="E47" s="2401"/>
      <c r="F47" s="2405"/>
      <c r="G47" s="2406"/>
      <c r="H47" s="2406"/>
      <c r="I47" s="2401"/>
      <c r="J47" s="2405"/>
      <c r="K47" s="1753"/>
      <c r="L47" s="1753"/>
      <c r="M47" s="1753"/>
      <c r="N47" s="1753"/>
      <c r="O47" s="1753"/>
      <c r="P47" s="1753"/>
      <c r="Q47" s="1753"/>
      <c r="R47" s="1753"/>
    </row>
    <row r="48" spans="1:19" ht="12.75" customHeight="1" x14ac:dyDescent="0.25">
      <c r="A48" s="2407"/>
      <c r="B48" s="1958"/>
      <c r="C48" s="2401" t="s">
        <v>2045</v>
      </c>
      <c r="D48" s="2401"/>
      <c r="E48" s="2401"/>
      <c r="F48" s="2405"/>
      <c r="G48" s="2406"/>
      <c r="H48" s="2406"/>
      <c r="I48" s="2401"/>
      <c r="J48" s="2405"/>
      <c r="K48" s="139"/>
      <c r="L48" s="139"/>
      <c r="M48" s="139"/>
      <c r="N48" s="139"/>
      <c r="O48" s="139"/>
      <c r="P48" s="139"/>
      <c r="Q48" s="139"/>
      <c r="R48" s="139"/>
    </row>
    <row r="49" spans="1:18" ht="12.75" customHeight="1" x14ac:dyDescent="0.25">
      <c r="A49" s="2407"/>
      <c r="B49" s="1958"/>
      <c r="C49" s="2401" t="s">
        <v>2045</v>
      </c>
      <c r="D49" s="2401"/>
      <c r="E49" s="2401"/>
      <c r="F49" s="2405"/>
      <c r="G49" s="2406"/>
      <c r="H49" s="2406"/>
      <c r="I49" s="2401"/>
      <c r="J49" s="2405"/>
      <c r="K49" s="241"/>
      <c r="L49" s="241"/>
      <c r="M49" s="241"/>
      <c r="N49" s="241"/>
      <c r="O49" s="241"/>
      <c r="P49" s="241"/>
      <c r="Q49" s="241"/>
      <c r="R49" s="241"/>
    </row>
    <row r="50" spans="1:18" s="922" customFormat="1" ht="12.75" customHeight="1" x14ac:dyDescent="0.25">
      <c r="A50" s="2407"/>
      <c r="B50" s="1958"/>
      <c r="C50" s="2401" t="s">
        <v>2045</v>
      </c>
      <c r="D50" s="2401"/>
      <c r="E50" s="2401"/>
      <c r="F50" s="2405"/>
      <c r="G50" s="2406"/>
      <c r="H50" s="2406"/>
      <c r="I50" s="2401"/>
      <c r="J50" s="2405"/>
      <c r="K50" s="899"/>
      <c r="L50" s="899"/>
      <c r="M50" s="899"/>
      <c r="N50" s="899"/>
      <c r="O50" s="899"/>
      <c r="P50" s="899"/>
      <c r="Q50" s="899"/>
      <c r="R50" s="899"/>
    </row>
    <row r="51" spans="1:18" s="922" customFormat="1" ht="6" customHeight="1" x14ac:dyDescent="0.25">
      <c r="A51" s="2004"/>
      <c r="B51" s="2005"/>
      <c r="C51" s="2006"/>
      <c r="D51" s="2006"/>
      <c r="E51" s="2006"/>
      <c r="F51" s="2007"/>
      <c r="G51" s="2008"/>
      <c r="H51" s="2008"/>
      <c r="I51" s="2006"/>
      <c r="J51" s="2007"/>
      <c r="K51" s="899"/>
      <c r="L51" s="899"/>
      <c r="M51" s="899"/>
      <c r="N51" s="899"/>
      <c r="O51" s="899"/>
      <c r="P51" s="899"/>
      <c r="Q51" s="899"/>
      <c r="R51" s="899"/>
    </row>
    <row r="52" spans="1:18" s="922" customFormat="1" ht="12.75" customHeight="1" x14ac:dyDescent="0.25">
      <c r="A52" s="1997"/>
      <c r="B52" s="1998"/>
      <c r="C52" s="1999"/>
      <c r="D52" s="1999"/>
      <c r="E52" s="1999"/>
      <c r="F52" s="1999"/>
      <c r="G52" s="1999"/>
      <c r="H52" s="1999"/>
      <c r="I52" s="1999"/>
      <c r="J52" s="1999"/>
      <c r="K52" s="899"/>
      <c r="L52" s="899"/>
      <c r="M52" s="899"/>
      <c r="N52" s="899"/>
      <c r="O52" s="899"/>
      <c r="P52" s="899"/>
      <c r="Q52" s="899"/>
      <c r="R52" s="899"/>
    </row>
    <row r="53" spans="1:18" s="922" customFormat="1" ht="12.75" customHeight="1" x14ac:dyDescent="0.25">
      <c r="A53" s="1997"/>
      <c r="B53" s="1998"/>
      <c r="C53" s="1999"/>
      <c r="D53" s="1999"/>
      <c r="E53" s="1999"/>
      <c r="F53" s="1999"/>
      <c r="G53" s="1999"/>
      <c r="H53" s="1999"/>
      <c r="I53" s="1999"/>
      <c r="J53" s="1999"/>
      <c r="K53" s="899"/>
      <c r="L53" s="899"/>
      <c r="M53" s="899"/>
      <c r="N53" s="899"/>
      <c r="O53" s="899"/>
      <c r="P53" s="899"/>
      <c r="Q53" s="899"/>
      <c r="R53" s="899"/>
    </row>
    <row r="54" spans="1:18" s="922" customFormat="1" ht="12.75" customHeight="1" x14ac:dyDescent="0.25">
      <c r="A54" s="1997"/>
      <c r="B54" s="1998"/>
      <c r="C54" s="1999"/>
      <c r="D54" s="1999"/>
      <c r="E54" s="1999"/>
      <c r="F54" s="1999"/>
      <c r="G54" s="1999"/>
      <c r="H54" s="1999"/>
      <c r="I54" s="1999"/>
      <c r="J54" s="1999"/>
      <c r="K54" s="899"/>
      <c r="L54" s="899"/>
      <c r="M54" s="899"/>
      <c r="N54" s="899"/>
      <c r="O54" s="899"/>
      <c r="P54" s="899"/>
      <c r="Q54" s="899"/>
      <c r="R54" s="899"/>
    </row>
    <row r="55" spans="1:18" s="922" customFormat="1" ht="12.75" customHeight="1" x14ac:dyDescent="0.25">
      <c r="A55" s="1997"/>
      <c r="B55" s="1998"/>
      <c r="C55" s="1999"/>
      <c r="D55" s="1999"/>
      <c r="E55" s="1999"/>
      <c r="F55" s="1999"/>
      <c r="G55" s="1999"/>
      <c r="H55" s="1999"/>
      <c r="I55" s="1999"/>
      <c r="J55" s="1999"/>
      <c r="K55" s="899"/>
      <c r="L55" s="899"/>
      <c r="M55" s="899"/>
      <c r="N55" s="899"/>
      <c r="O55" s="899"/>
      <c r="P55" s="899"/>
      <c r="Q55" s="899"/>
      <c r="R55" s="899"/>
    </row>
    <row r="56" spans="1:18" s="922" customFormat="1" ht="12.75" customHeight="1" x14ac:dyDescent="0.25">
      <c r="A56" s="1997"/>
      <c r="B56" s="1998"/>
      <c r="C56" s="1999"/>
      <c r="D56" s="1999"/>
      <c r="E56" s="1999"/>
      <c r="F56" s="1999"/>
      <c r="G56" s="1999"/>
      <c r="H56" s="1999"/>
      <c r="I56" s="1999"/>
      <c r="J56" s="1999"/>
      <c r="K56" s="899"/>
      <c r="L56" s="899"/>
      <c r="M56" s="899"/>
      <c r="N56" s="899"/>
      <c r="O56" s="899"/>
      <c r="P56" s="899"/>
      <c r="Q56" s="899"/>
      <c r="R56" s="899"/>
    </row>
    <row r="57" spans="1:18" ht="12.75" customHeight="1" x14ac:dyDescent="0.25">
      <c r="A57" s="2000"/>
      <c r="B57" s="1998"/>
      <c r="C57" s="1999"/>
      <c r="D57" s="1999"/>
      <c r="E57" s="1999"/>
      <c r="F57" s="1999"/>
      <c r="G57" s="1999"/>
      <c r="H57" s="1999"/>
      <c r="I57" s="1999"/>
      <c r="J57" s="1999"/>
      <c r="K57" s="808"/>
      <c r="L57" s="808"/>
      <c r="M57" s="808"/>
      <c r="N57" s="808"/>
      <c r="O57" s="808"/>
      <c r="P57" s="808"/>
      <c r="Q57" s="808"/>
      <c r="R57" s="808"/>
    </row>
    <row r="58" spans="1:18" ht="12.75" customHeight="1" x14ac:dyDescent="0.25">
      <c r="A58" s="2001"/>
      <c r="B58" s="1998"/>
      <c r="C58" s="1998"/>
      <c r="D58" s="1999"/>
      <c r="E58" s="1999"/>
      <c r="F58" s="1999"/>
      <c r="G58" s="1999"/>
      <c r="H58" s="1999"/>
      <c r="I58" s="1999"/>
      <c r="J58" s="1999"/>
      <c r="K58" s="1734"/>
      <c r="L58" s="1734"/>
      <c r="M58" s="1734"/>
      <c r="N58" s="1734"/>
      <c r="O58" s="1734"/>
      <c r="P58" s="1734"/>
      <c r="Q58" s="1734"/>
      <c r="R58" s="1734"/>
    </row>
    <row r="59" spans="1:18" ht="15" customHeight="1" x14ac:dyDescent="0.25">
      <c r="A59" s="2002"/>
      <c r="B59" s="1998"/>
      <c r="C59" s="1998"/>
      <c r="D59" s="1999"/>
      <c r="E59" s="1999"/>
      <c r="F59" s="1999"/>
      <c r="G59" s="1999"/>
      <c r="H59" s="1999"/>
      <c r="I59" s="1999"/>
      <c r="J59" s="1999"/>
      <c r="K59" s="116"/>
      <c r="L59" s="116"/>
      <c r="M59" s="116"/>
      <c r="N59" s="116"/>
      <c r="O59" s="116"/>
      <c r="P59" s="116"/>
      <c r="Q59" s="116"/>
      <c r="R59" s="116"/>
    </row>
    <row r="60" spans="1:18" ht="12.75" customHeight="1" x14ac:dyDescent="0.25">
      <c r="A60" s="2001"/>
      <c r="B60" s="1998"/>
      <c r="C60" s="1998"/>
      <c r="D60" s="1999"/>
      <c r="E60" s="1999"/>
      <c r="F60" s="1999"/>
      <c r="G60" s="1999"/>
      <c r="H60" s="1999"/>
      <c r="I60" s="1999"/>
      <c r="J60" s="1999"/>
      <c r="K60" s="116"/>
      <c r="L60" s="116"/>
      <c r="M60" s="116"/>
      <c r="N60" s="116"/>
      <c r="O60" s="116"/>
      <c r="P60" s="116"/>
      <c r="Q60" s="116"/>
      <c r="R60" s="116"/>
    </row>
    <row r="61" spans="1:18" ht="12.75" customHeight="1" x14ac:dyDescent="0.25">
      <c r="A61" s="1997"/>
      <c r="B61" s="1998"/>
      <c r="C61" s="1999"/>
      <c r="D61" s="1999"/>
      <c r="E61" s="1999"/>
      <c r="F61" s="1999"/>
      <c r="G61" s="1999"/>
      <c r="H61" s="1999"/>
      <c r="I61" s="1999"/>
      <c r="J61" s="1999"/>
      <c r="K61" s="1550"/>
      <c r="L61" s="1550"/>
      <c r="M61" s="1550"/>
      <c r="N61" s="1550"/>
      <c r="O61" s="1550"/>
      <c r="P61" s="1550"/>
      <c r="Q61" s="1550"/>
      <c r="R61" s="1550"/>
    </row>
    <row r="62" spans="1:18" ht="12.75" customHeight="1" x14ac:dyDescent="0.25">
      <c r="A62" s="1997"/>
      <c r="B62" s="1998"/>
      <c r="C62" s="1999"/>
      <c r="D62" s="1999"/>
      <c r="E62" s="1999"/>
      <c r="F62" s="1999"/>
      <c r="G62" s="1999"/>
      <c r="H62" s="1999"/>
      <c r="I62" s="1999"/>
      <c r="J62" s="1999"/>
      <c r="K62" s="1550"/>
      <c r="L62" s="1550"/>
      <c r="M62" s="1550"/>
      <c r="N62" s="1550"/>
      <c r="O62" s="1550"/>
      <c r="P62" s="1550"/>
      <c r="Q62" s="1550"/>
      <c r="R62" s="1550"/>
    </row>
    <row r="63" spans="1:18" ht="12.75" customHeight="1" x14ac:dyDescent="0.25">
      <c r="A63" s="1997"/>
      <c r="B63" s="1998"/>
      <c r="C63" s="1999"/>
      <c r="D63" s="1999"/>
      <c r="E63" s="1999"/>
      <c r="F63" s="1999"/>
      <c r="G63" s="1999"/>
      <c r="H63" s="1999"/>
      <c r="I63" s="1999"/>
      <c r="J63" s="1999"/>
      <c r="K63" s="1550"/>
      <c r="L63" s="1550"/>
      <c r="M63" s="1550"/>
      <c r="N63" s="1550"/>
      <c r="O63" s="1550"/>
      <c r="P63" s="1550"/>
      <c r="Q63" s="1550"/>
      <c r="R63" s="1550"/>
    </row>
    <row r="64" spans="1:18" ht="12.75" customHeight="1" x14ac:dyDescent="0.25">
      <c r="A64" s="1997"/>
      <c r="B64" s="1998"/>
      <c r="C64" s="1999"/>
      <c r="D64" s="1999"/>
      <c r="E64" s="1999"/>
      <c r="F64" s="1999"/>
      <c r="G64" s="1999"/>
      <c r="H64" s="1999"/>
      <c r="I64" s="1999"/>
      <c r="J64" s="1999"/>
      <c r="K64" s="1550"/>
      <c r="L64" s="1550"/>
      <c r="M64" s="1550"/>
      <c r="N64" s="1550"/>
      <c r="O64" s="1550"/>
      <c r="P64" s="1550"/>
      <c r="Q64" s="1550"/>
      <c r="R64" s="1550"/>
    </row>
    <row r="65" spans="1:18" ht="12.75" customHeight="1" x14ac:dyDescent="0.25">
      <c r="A65" s="1997"/>
      <c r="B65" s="1998"/>
      <c r="C65" s="1999"/>
      <c r="D65" s="1999"/>
      <c r="E65" s="1999"/>
      <c r="F65" s="1999"/>
      <c r="G65" s="1999"/>
      <c r="H65" s="1999"/>
      <c r="I65" s="1999"/>
      <c r="J65" s="1999"/>
      <c r="K65" s="1550"/>
      <c r="L65" s="1550"/>
      <c r="M65" s="1550"/>
      <c r="N65" s="1550"/>
      <c r="O65" s="1550"/>
      <c r="P65" s="1550"/>
      <c r="Q65" s="1550"/>
      <c r="R65" s="1550"/>
    </row>
    <row r="66" spans="1:18" ht="12.75" customHeight="1" x14ac:dyDescent="0.25">
      <c r="A66" s="1997"/>
      <c r="B66" s="1998"/>
      <c r="C66" s="1999"/>
      <c r="D66" s="1999"/>
      <c r="E66" s="1999"/>
      <c r="F66" s="1999"/>
      <c r="G66" s="1999"/>
      <c r="H66" s="1999"/>
      <c r="I66" s="1999"/>
      <c r="J66" s="1999"/>
      <c r="K66" s="1550"/>
      <c r="L66" s="1550"/>
      <c r="M66" s="1550"/>
      <c r="N66" s="1550"/>
      <c r="O66" s="1550"/>
      <c r="P66" s="1550"/>
      <c r="Q66" s="1550"/>
      <c r="R66" s="1550"/>
    </row>
    <row r="67" spans="1:18" ht="12.75" customHeight="1" x14ac:dyDescent="0.25">
      <c r="A67" s="1997"/>
      <c r="B67" s="1998"/>
      <c r="C67" s="1999"/>
      <c r="D67" s="1999"/>
      <c r="E67" s="1999"/>
      <c r="F67" s="1999"/>
      <c r="G67" s="1999"/>
      <c r="H67" s="1999"/>
      <c r="I67" s="1999"/>
      <c r="J67" s="1999"/>
      <c r="K67" s="1550"/>
      <c r="L67" s="1550"/>
      <c r="M67" s="1550"/>
      <c r="N67" s="1550"/>
      <c r="O67" s="1550"/>
      <c r="P67" s="1550"/>
      <c r="Q67" s="1550"/>
      <c r="R67" s="1550"/>
    </row>
    <row r="68" spans="1:18" ht="12.75" customHeight="1" x14ac:dyDescent="0.25">
      <c r="A68" s="1997"/>
      <c r="B68" s="1998"/>
      <c r="C68" s="1999"/>
      <c r="D68" s="1999"/>
      <c r="E68" s="1999"/>
      <c r="F68" s="1999"/>
      <c r="G68" s="1999"/>
      <c r="H68" s="1999"/>
      <c r="I68" s="1999"/>
      <c r="J68" s="1999"/>
      <c r="K68" s="1550"/>
      <c r="L68" s="1550"/>
      <c r="M68" s="1550"/>
      <c r="N68" s="1550"/>
      <c r="O68" s="1550"/>
      <c r="P68" s="1550"/>
      <c r="Q68" s="1550"/>
      <c r="R68" s="1550"/>
    </row>
    <row r="69" spans="1:18" ht="12.75" customHeight="1" x14ac:dyDescent="0.25">
      <c r="A69" s="1997"/>
      <c r="B69" s="1998"/>
      <c r="C69" s="1999"/>
      <c r="D69" s="1999"/>
      <c r="E69" s="1999"/>
      <c r="F69" s="1999"/>
      <c r="G69" s="1999"/>
      <c r="H69" s="1999"/>
      <c r="I69" s="1999"/>
      <c r="J69" s="1999"/>
      <c r="K69" s="1550"/>
      <c r="L69" s="1550"/>
      <c r="M69" s="1550"/>
      <c r="N69" s="1550"/>
      <c r="O69" s="1550"/>
      <c r="P69" s="1550"/>
      <c r="Q69" s="1550"/>
      <c r="R69" s="1550"/>
    </row>
    <row r="70" spans="1:18" ht="12.75" customHeight="1" x14ac:dyDescent="0.25">
      <c r="A70" s="1997"/>
      <c r="B70" s="1998"/>
      <c r="C70" s="1999"/>
      <c r="D70" s="1999"/>
      <c r="E70" s="1999"/>
      <c r="F70" s="1999"/>
      <c r="G70" s="1999"/>
      <c r="H70" s="1999"/>
      <c r="I70" s="1999"/>
      <c r="J70" s="1999"/>
      <c r="K70" s="1550"/>
      <c r="L70" s="1550"/>
      <c r="M70" s="1550"/>
      <c r="N70" s="1550"/>
      <c r="O70" s="1550"/>
      <c r="P70" s="1550"/>
      <c r="Q70" s="1550"/>
      <c r="R70" s="1550"/>
    </row>
    <row r="71" spans="1:18" ht="12.75" customHeight="1" x14ac:dyDescent="0.25">
      <c r="A71" s="1997"/>
      <c r="B71" s="1998"/>
      <c r="C71" s="1999"/>
      <c r="D71" s="1999"/>
      <c r="E71" s="1999"/>
      <c r="F71" s="1999"/>
      <c r="G71" s="1999"/>
      <c r="H71" s="1999"/>
      <c r="I71" s="1999"/>
      <c r="J71" s="1999"/>
      <c r="K71" s="1550"/>
      <c r="L71" s="1550"/>
      <c r="M71" s="1550"/>
      <c r="N71" s="1550"/>
      <c r="O71" s="1550"/>
      <c r="P71" s="1550"/>
      <c r="Q71" s="1550"/>
      <c r="R71" s="1550"/>
    </row>
    <row r="72" spans="1:18" ht="12.75" customHeight="1" x14ac:dyDescent="0.25">
      <c r="A72" s="1997"/>
      <c r="B72" s="1998"/>
      <c r="C72" s="1999"/>
      <c r="D72" s="1999"/>
      <c r="E72" s="1999"/>
      <c r="F72" s="1999"/>
      <c r="G72" s="1999"/>
      <c r="H72" s="1999"/>
      <c r="I72" s="1999"/>
      <c r="J72" s="1999"/>
      <c r="K72" s="1550"/>
      <c r="L72" s="1550"/>
      <c r="M72" s="1550"/>
      <c r="N72" s="1550"/>
      <c r="O72" s="1550"/>
      <c r="P72" s="1550"/>
      <c r="Q72" s="1550"/>
      <c r="R72" s="1550"/>
    </row>
    <row r="73" spans="1:18" ht="12.75" customHeight="1" x14ac:dyDescent="0.25">
      <c r="A73" s="1997"/>
      <c r="B73" s="1998"/>
      <c r="C73" s="1999"/>
      <c r="D73" s="1999"/>
      <c r="E73" s="1999"/>
      <c r="F73" s="1999"/>
      <c r="G73" s="1999"/>
      <c r="H73" s="1999"/>
      <c r="I73" s="1999"/>
      <c r="J73" s="1999"/>
      <c r="K73" s="1550"/>
      <c r="L73" s="1550"/>
      <c r="M73" s="1550"/>
      <c r="N73" s="1550"/>
      <c r="O73" s="1550"/>
      <c r="P73" s="1550"/>
      <c r="Q73" s="1550"/>
      <c r="R73" s="1550"/>
    </row>
    <row r="74" spans="1:18" ht="12.75" customHeight="1" x14ac:dyDescent="0.25">
      <c r="A74" s="1997"/>
      <c r="B74" s="1998"/>
      <c r="C74" s="1999"/>
      <c r="D74" s="1999"/>
      <c r="E74" s="1999"/>
      <c r="F74" s="1999"/>
      <c r="G74" s="1999"/>
      <c r="H74" s="1999"/>
      <c r="I74" s="1999"/>
      <c r="J74" s="1999"/>
      <c r="K74" s="1550"/>
      <c r="L74" s="1550"/>
      <c r="M74" s="1550"/>
      <c r="N74" s="1550"/>
      <c r="O74" s="1550"/>
      <c r="P74" s="1550"/>
      <c r="Q74" s="1550"/>
      <c r="R74" s="1550"/>
    </row>
    <row r="75" spans="1:18" ht="12.75" customHeight="1" x14ac:dyDescent="0.25">
      <c r="A75" s="1997"/>
      <c r="B75" s="1998"/>
      <c r="C75" s="1999"/>
      <c r="D75" s="1999"/>
      <c r="E75" s="1999"/>
      <c r="F75" s="1999"/>
      <c r="G75" s="1999"/>
      <c r="H75" s="1999"/>
      <c r="I75" s="1999"/>
      <c r="J75" s="1999"/>
      <c r="K75" s="1550"/>
      <c r="L75" s="1550"/>
      <c r="M75" s="1550"/>
      <c r="N75" s="1550"/>
      <c r="O75" s="1550"/>
      <c r="P75" s="1550"/>
      <c r="Q75" s="1550"/>
      <c r="R75" s="1550"/>
    </row>
    <row r="76" spans="1:18" ht="12.75" customHeight="1" x14ac:dyDescent="0.25">
      <c r="A76" s="1997"/>
      <c r="B76" s="1998"/>
      <c r="C76" s="1999"/>
      <c r="D76" s="1999"/>
      <c r="E76" s="1999"/>
      <c r="F76" s="1999"/>
      <c r="G76" s="1999"/>
      <c r="H76" s="1999"/>
      <c r="I76" s="1999"/>
      <c r="J76" s="1999"/>
      <c r="K76" s="1550"/>
      <c r="L76" s="1550"/>
      <c r="M76" s="1550"/>
      <c r="N76" s="1550"/>
      <c r="O76" s="1550"/>
      <c r="P76" s="1550"/>
      <c r="Q76" s="1550"/>
      <c r="R76" s="1550"/>
    </row>
    <row r="77" spans="1:18" ht="12.75" customHeight="1" x14ac:dyDescent="0.25">
      <c r="A77" s="1997"/>
      <c r="B77" s="1998"/>
      <c r="C77" s="1999"/>
      <c r="D77" s="1999"/>
      <c r="E77" s="1999"/>
      <c r="F77" s="1999"/>
      <c r="G77" s="1999"/>
      <c r="H77" s="1999"/>
      <c r="I77" s="1999"/>
      <c r="J77" s="1999"/>
      <c r="K77" s="1550"/>
      <c r="L77" s="1550"/>
      <c r="M77" s="1550"/>
      <c r="N77" s="1550"/>
      <c r="O77" s="1550"/>
      <c r="P77" s="1550"/>
      <c r="Q77" s="1550"/>
      <c r="R77" s="1550"/>
    </row>
    <row r="78" spans="1:18" ht="12.75" customHeight="1" x14ac:dyDescent="0.25">
      <c r="A78" s="1997"/>
      <c r="B78" s="1998"/>
      <c r="C78" s="1999"/>
      <c r="D78" s="1999"/>
      <c r="E78" s="1999"/>
      <c r="F78" s="1999"/>
      <c r="G78" s="1999"/>
      <c r="H78" s="1999"/>
      <c r="I78" s="1999"/>
      <c r="J78" s="1999"/>
      <c r="K78" s="1550"/>
      <c r="L78" s="1550"/>
      <c r="M78" s="1550"/>
      <c r="N78" s="1550"/>
      <c r="O78" s="1550"/>
      <c r="P78" s="1550"/>
      <c r="Q78" s="1550"/>
      <c r="R78" s="1550"/>
    </row>
    <row r="79" spans="1:18" ht="12.75" customHeight="1" x14ac:dyDescent="0.25">
      <c r="A79" s="1997"/>
      <c r="B79" s="1998"/>
      <c r="C79" s="1999"/>
      <c r="D79" s="1999"/>
      <c r="E79" s="1999"/>
      <c r="F79" s="1999"/>
      <c r="G79" s="1999"/>
      <c r="H79" s="1999"/>
      <c r="I79" s="1999"/>
      <c r="J79" s="1999"/>
      <c r="K79" s="1550"/>
      <c r="L79" s="1550"/>
      <c r="M79" s="1550"/>
      <c r="N79" s="1550"/>
      <c r="O79" s="1550"/>
      <c r="P79" s="1550"/>
      <c r="Q79" s="1550"/>
      <c r="R79" s="1550"/>
    </row>
    <row r="80" spans="1:18" ht="12.75" customHeight="1" x14ac:dyDescent="0.25">
      <c r="A80" s="2000"/>
      <c r="B80" s="1998"/>
      <c r="C80" s="1999"/>
      <c r="D80" s="1999"/>
      <c r="E80" s="1999"/>
      <c r="F80" s="1999"/>
      <c r="G80" s="1999"/>
      <c r="H80" s="1999"/>
      <c r="I80" s="1999"/>
      <c r="J80" s="1999"/>
      <c r="K80" s="1743"/>
      <c r="L80" s="1743"/>
      <c r="M80" s="1743"/>
      <c r="N80" s="1743"/>
      <c r="O80" s="1743"/>
      <c r="P80" s="1743"/>
      <c r="Q80" s="1743"/>
      <c r="R80" s="1743"/>
    </row>
    <row r="81" spans="1:18" ht="5.0999999999999996" customHeight="1" x14ac:dyDescent="0.25">
      <c r="A81" s="2001"/>
      <c r="B81" s="1998"/>
      <c r="C81" s="1998"/>
      <c r="D81" s="1999"/>
      <c r="E81" s="1999"/>
      <c r="F81" s="1999"/>
      <c r="G81" s="1999"/>
      <c r="H81" s="1999"/>
      <c r="I81" s="1999"/>
      <c r="J81" s="1999"/>
      <c r="K81" s="1745"/>
      <c r="L81" s="1745"/>
      <c r="M81" s="1745"/>
      <c r="N81" s="1745"/>
      <c r="O81" s="1745"/>
      <c r="P81" s="1745"/>
      <c r="Q81" s="1745"/>
      <c r="R81" s="1745"/>
    </row>
    <row r="82" spans="1:18" ht="12.75" customHeight="1" x14ac:dyDescent="0.25">
      <c r="A82" s="2002"/>
      <c r="B82" s="1998"/>
      <c r="C82" s="1998"/>
      <c r="D82" s="1999"/>
      <c r="E82" s="1999"/>
      <c r="F82" s="1999"/>
      <c r="G82" s="1999"/>
      <c r="H82" s="1999"/>
      <c r="I82" s="1999"/>
      <c r="J82" s="1999"/>
      <c r="K82" s="1746"/>
      <c r="L82" s="1746"/>
      <c r="M82" s="1746"/>
      <c r="N82" s="1746"/>
      <c r="O82" s="1746"/>
      <c r="P82" s="1746"/>
      <c r="Q82" s="1746"/>
      <c r="R82" s="1746"/>
    </row>
    <row r="83" spans="1:18" ht="12.75" customHeight="1" x14ac:dyDescent="0.25">
      <c r="A83" s="2001"/>
      <c r="B83" s="1998"/>
      <c r="C83" s="1998"/>
      <c r="D83" s="1999"/>
      <c r="E83" s="1999"/>
      <c r="F83" s="1999"/>
      <c r="G83" s="1999"/>
      <c r="H83" s="1999"/>
      <c r="I83" s="1999"/>
      <c r="J83" s="1999"/>
      <c r="K83" s="1745"/>
      <c r="L83" s="1745"/>
      <c r="M83" s="1745"/>
      <c r="N83" s="1745"/>
      <c r="O83" s="1745"/>
      <c r="P83" s="1745"/>
      <c r="Q83" s="1745"/>
      <c r="R83" s="1745"/>
    </row>
    <row r="84" spans="1:18" ht="12.75" customHeight="1" x14ac:dyDescent="0.25">
      <c r="A84" s="1997"/>
      <c r="B84" s="1998"/>
      <c r="C84" s="1999"/>
      <c r="D84" s="1999"/>
      <c r="E84" s="1999"/>
      <c r="F84" s="1999"/>
      <c r="G84" s="1999"/>
      <c r="H84" s="1999"/>
      <c r="I84" s="1999"/>
      <c r="J84" s="1999"/>
      <c r="K84" s="1745"/>
      <c r="L84" s="1745"/>
      <c r="M84" s="1745"/>
      <c r="N84" s="1745"/>
      <c r="O84" s="1745"/>
      <c r="P84" s="1745"/>
      <c r="Q84" s="1745"/>
      <c r="R84" s="1745"/>
    </row>
    <row r="85" spans="1:18" ht="12.75" customHeight="1" x14ac:dyDescent="0.25">
      <c r="A85" s="1997"/>
      <c r="B85" s="1998"/>
      <c r="C85" s="1999"/>
      <c r="D85" s="1999"/>
      <c r="E85" s="1999"/>
      <c r="F85" s="1999"/>
      <c r="G85" s="1999"/>
      <c r="H85" s="1999"/>
      <c r="I85" s="1999"/>
      <c r="J85" s="1999"/>
      <c r="K85" s="1745"/>
      <c r="L85" s="1745"/>
      <c r="M85" s="1745"/>
      <c r="N85" s="1745"/>
      <c r="O85" s="1745"/>
      <c r="P85" s="1745"/>
      <c r="Q85" s="1745"/>
      <c r="R85" s="1745"/>
    </row>
    <row r="86" spans="1:18" ht="12.75" customHeight="1" x14ac:dyDescent="0.25">
      <c r="A86" s="1997"/>
      <c r="B86" s="1998"/>
      <c r="C86" s="1999"/>
      <c r="D86" s="1999"/>
      <c r="E86" s="1999"/>
      <c r="F86" s="1999"/>
      <c r="G86" s="1999"/>
      <c r="H86" s="1999"/>
      <c r="I86" s="1999"/>
      <c r="J86" s="1999"/>
      <c r="K86" s="1745"/>
      <c r="L86" s="1745"/>
      <c r="M86" s="1745"/>
      <c r="N86" s="1745"/>
      <c r="O86" s="1745"/>
      <c r="P86" s="1745"/>
      <c r="Q86" s="1745"/>
      <c r="R86" s="1745"/>
    </row>
    <row r="87" spans="1:18" ht="12.75" customHeight="1" x14ac:dyDescent="0.25">
      <c r="A87" s="1997"/>
      <c r="B87" s="1998"/>
      <c r="C87" s="1999"/>
      <c r="D87" s="1999"/>
      <c r="E87" s="1999"/>
      <c r="F87" s="1999"/>
      <c r="G87" s="1999"/>
      <c r="H87" s="1999"/>
      <c r="I87" s="1999"/>
      <c r="J87" s="1999"/>
      <c r="K87" s="1745"/>
      <c r="L87" s="1745"/>
      <c r="M87" s="1745"/>
      <c r="N87" s="1745"/>
      <c r="O87" s="1745"/>
      <c r="P87" s="1745"/>
      <c r="Q87" s="1745"/>
      <c r="R87" s="1745"/>
    </row>
    <row r="88" spans="1:18" ht="5.0999999999999996" customHeight="1" x14ac:dyDescent="0.25">
      <c r="A88" s="2002"/>
      <c r="B88" s="2003"/>
      <c r="C88" s="2003"/>
      <c r="D88" s="1788"/>
      <c r="E88" s="1788"/>
      <c r="F88" s="1788"/>
      <c r="G88" s="1788"/>
      <c r="H88" s="1788"/>
      <c r="I88" s="1788"/>
      <c r="J88" s="1788"/>
      <c r="K88" s="1745"/>
      <c r="L88" s="1745"/>
      <c r="M88" s="1745"/>
      <c r="N88" s="1745"/>
      <c r="O88" s="1745"/>
      <c r="P88" s="1745"/>
      <c r="Q88" s="1745"/>
      <c r="R88" s="1745"/>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270"/>
      <c r="B91" s="1976"/>
      <c r="C91" s="1976"/>
      <c r="D91" s="1268"/>
      <c r="E91" s="1268"/>
      <c r="F91" s="1268"/>
      <c r="G91" s="1268"/>
      <c r="H91" s="1268"/>
      <c r="I91" s="1268"/>
      <c r="J91" s="1268"/>
      <c r="K91" s="1747"/>
      <c r="L91" s="1747"/>
      <c r="M91" s="1747"/>
      <c r="N91" s="1747"/>
      <c r="O91" s="1747"/>
      <c r="P91" s="1747"/>
      <c r="Q91" s="1747"/>
      <c r="R91" s="1747"/>
    </row>
    <row r="92" spans="1:18" ht="11.25" customHeight="1" x14ac:dyDescent="0.25">
      <c r="A92" s="1977"/>
      <c r="B92" s="1978"/>
      <c r="C92" s="1979"/>
      <c r="D92" s="1979"/>
      <c r="E92" s="1979"/>
      <c r="F92" s="1979"/>
      <c r="G92" s="1979"/>
      <c r="H92" s="1979"/>
      <c r="I92" s="1979"/>
      <c r="J92" s="1979"/>
      <c r="K92" s="1747"/>
      <c r="L92" s="1747"/>
      <c r="M92" s="1747"/>
      <c r="N92" s="1747"/>
      <c r="O92" s="1747"/>
      <c r="P92" s="1747"/>
      <c r="Q92" s="1747"/>
      <c r="R92" s="1747"/>
    </row>
    <row r="93" spans="1:18" ht="11.25" customHeight="1" x14ac:dyDescent="0.25">
      <c r="A93" s="1735"/>
      <c r="C93" s="1747"/>
      <c r="D93" s="1747"/>
      <c r="E93" s="1747"/>
      <c r="F93" s="1747"/>
      <c r="G93" s="1747"/>
      <c r="H93" s="1747"/>
      <c r="I93" s="1747"/>
      <c r="J93" s="1747"/>
      <c r="K93" s="1747"/>
      <c r="L93" s="1747"/>
      <c r="M93" s="1747"/>
      <c r="N93" s="1747"/>
      <c r="O93" s="1747"/>
      <c r="P93" s="1747"/>
      <c r="Q93" s="1747"/>
      <c r="R93" s="1747"/>
    </row>
    <row r="94" spans="1:18" ht="21" customHeight="1" x14ac:dyDescent="0.25">
      <c r="A94" s="1985"/>
      <c r="B94" s="1745"/>
      <c r="C94" s="1747"/>
      <c r="D94" s="1747"/>
      <c r="E94" s="1747"/>
      <c r="F94" s="1747"/>
      <c r="G94" s="1747"/>
      <c r="H94" s="1747"/>
      <c r="I94" s="1747"/>
      <c r="J94" s="1747"/>
      <c r="K94" s="1747"/>
      <c r="L94" s="1747"/>
      <c r="M94" s="1747"/>
      <c r="N94" s="1747"/>
      <c r="O94" s="1747"/>
      <c r="P94" s="1747"/>
      <c r="Q94" s="1747"/>
      <c r="R94" s="1747"/>
    </row>
    <row r="95" spans="1:18" ht="22.5" customHeight="1" x14ac:dyDescent="0.25">
      <c r="A95" s="2723"/>
      <c r="B95" s="2723"/>
      <c r="C95" s="2724"/>
      <c r="D95" s="2724"/>
      <c r="E95" s="2724"/>
      <c r="F95" s="2724"/>
      <c r="G95" s="2724"/>
      <c r="H95" s="1981"/>
      <c r="I95" s="1981"/>
      <c r="J95" s="1981"/>
      <c r="K95" s="1747"/>
      <c r="L95" s="1747"/>
      <c r="M95" s="1747"/>
      <c r="N95" s="1747"/>
      <c r="O95" s="1747"/>
      <c r="P95" s="1747"/>
      <c r="Q95" s="1747"/>
      <c r="R95" s="1747"/>
    </row>
    <row r="96" spans="1:18" ht="36.75" customHeight="1" x14ac:dyDescent="0.25">
      <c r="A96" s="2723"/>
      <c r="B96" s="2723"/>
      <c r="C96" s="2724"/>
      <c r="D96" s="2724"/>
      <c r="E96" s="2724"/>
      <c r="F96" s="2724"/>
      <c r="G96" s="2724"/>
      <c r="H96" s="1980"/>
      <c r="I96" s="1980"/>
      <c r="J96" s="1980"/>
      <c r="K96" s="1737"/>
      <c r="L96" s="1737"/>
      <c r="M96" s="1737"/>
      <c r="N96" s="1737"/>
      <c r="O96" s="1737"/>
      <c r="P96" s="1737"/>
      <c r="Q96" s="1737"/>
      <c r="R96" s="1737"/>
    </row>
    <row r="97" spans="1:18" ht="21.75" customHeight="1" x14ac:dyDescent="0.25">
      <c r="A97" s="1986"/>
      <c r="B97" s="1982"/>
      <c r="C97" s="1983"/>
      <c r="D97" s="1983"/>
      <c r="E97" s="1983"/>
      <c r="F97" s="1983"/>
      <c r="G97" s="1983"/>
      <c r="H97" s="1983"/>
      <c r="I97" s="1983"/>
      <c r="J97" s="1983"/>
      <c r="K97" s="1748"/>
      <c r="L97" s="1748"/>
      <c r="M97" s="1748"/>
      <c r="N97" s="1748"/>
      <c r="O97" s="1748"/>
      <c r="P97" s="1748"/>
      <c r="Q97" s="1748"/>
      <c r="R97" s="1748"/>
    </row>
    <row r="98" spans="1:18" ht="11.45" customHeight="1" x14ac:dyDescent="0.25">
      <c r="A98" s="1987"/>
      <c r="B98" s="1982"/>
      <c r="C98" s="1983"/>
      <c r="D98" s="1983"/>
      <c r="E98" s="1983"/>
      <c r="F98" s="1983"/>
      <c r="G98" s="1983"/>
      <c r="H98" s="1983"/>
      <c r="I98" s="1983"/>
      <c r="J98" s="1983"/>
      <c r="K98" s="1748"/>
      <c r="L98" s="1748"/>
      <c r="M98" s="1748"/>
      <c r="N98" s="1748"/>
      <c r="O98" s="1748"/>
      <c r="P98" s="1748"/>
      <c r="Q98" s="1748"/>
      <c r="R98" s="1748"/>
    </row>
    <row r="99" spans="1:18" ht="11.45" customHeight="1" x14ac:dyDescent="0.25">
      <c r="A99" s="1987"/>
      <c r="B99" s="1982"/>
      <c r="C99" s="1983"/>
      <c r="D99" s="1983"/>
      <c r="E99" s="1983"/>
      <c r="F99" s="1983"/>
      <c r="G99" s="1983"/>
      <c r="H99" s="1983"/>
      <c r="I99" s="1983"/>
      <c r="J99" s="1983"/>
      <c r="K99" s="1748"/>
      <c r="L99" s="1748"/>
      <c r="M99" s="1748"/>
      <c r="N99" s="1748"/>
      <c r="O99" s="1748"/>
      <c r="P99" s="1748"/>
      <c r="Q99" s="1748"/>
      <c r="R99" s="1748"/>
    </row>
    <row r="100" spans="1:18" ht="11.45" customHeight="1" x14ac:dyDescent="0.25">
      <c r="A100" s="1987"/>
      <c r="B100" s="1982"/>
      <c r="C100" s="1983"/>
      <c r="D100" s="1983"/>
      <c r="E100" s="1983"/>
      <c r="F100" s="1983"/>
      <c r="G100" s="1983"/>
      <c r="H100" s="1983"/>
      <c r="I100" s="1983"/>
      <c r="J100" s="1983"/>
      <c r="K100" s="1748"/>
      <c r="L100" s="1748"/>
      <c r="M100" s="1748"/>
      <c r="N100" s="1748"/>
      <c r="O100" s="1748"/>
      <c r="P100" s="1748"/>
      <c r="Q100" s="1748"/>
      <c r="R100" s="1748"/>
    </row>
    <row r="101" spans="1:18" ht="21" customHeight="1" x14ac:dyDescent="0.25">
      <c r="A101" s="1986"/>
      <c r="B101" s="1982"/>
      <c r="C101" s="1983"/>
      <c r="D101" s="1983"/>
      <c r="E101" s="1983"/>
      <c r="F101" s="1983"/>
      <c r="G101" s="1983"/>
      <c r="H101" s="1983"/>
      <c r="I101" s="1983"/>
      <c r="J101" s="1983"/>
      <c r="K101" s="1748"/>
      <c r="L101" s="1748"/>
      <c r="M101" s="1748"/>
      <c r="N101" s="1748"/>
      <c r="O101" s="1748"/>
      <c r="P101" s="1748"/>
      <c r="Q101" s="1748"/>
      <c r="R101" s="1748"/>
    </row>
    <row r="102" spans="1:18" ht="11.45" customHeight="1" x14ac:dyDescent="0.25">
      <c r="A102" s="1987"/>
      <c r="B102" s="1982"/>
      <c r="C102" s="1983"/>
      <c r="D102" s="1983"/>
      <c r="E102" s="1983"/>
      <c r="F102" s="1983"/>
      <c r="G102" s="1983"/>
      <c r="H102" s="1983"/>
      <c r="I102" s="1983"/>
      <c r="J102" s="1983"/>
      <c r="K102" s="1748"/>
      <c r="L102" s="1748"/>
      <c r="M102" s="1748"/>
      <c r="N102" s="1748"/>
      <c r="O102" s="1748"/>
      <c r="P102" s="1748"/>
      <c r="Q102" s="1748"/>
      <c r="R102" s="1748"/>
    </row>
    <row r="103" spans="1:18" ht="11.45" customHeight="1" x14ac:dyDescent="0.25">
      <c r="A103" s="1987"/>
      <c r="B103" s="1982"/>
      <c r="C103" s="1983"/>
      <c r="D103" s="1983"/>
      <c r="E103" s="1983"/>
      <c r="F103" s="1983"/>
      <c r="G103" s="1983"/>
      <c r="H103" s="1983"/>
      <c r="I103" s="1983"/>
      <c r="J103" s="1983"/>
      <c r="K103" s="1748"/>
      <c r="L103" s="1748"/>
      <c r="M103" s="1748"/>
      <c r="N103" s="1748"/>
      <c r="O103" s="1748"/>
      <c r="P103" s="1748"/>
      <c r="Q103" s="1748"/>
      <c r="R103" s="1748"/>
    </row>
    <row r="104" spans="1:18" ht="11.45" customHeight="1" x14ac:dyDescent="0.25">
      <c r="A104" s="1987"/>
      <c r="B104" s="1982"/>
      <c r="C104" s="1983"/>
      <c r="D104" s="1983"/>
      <c r="E104" s="1983"/>
      <c r="F104" s="1983"/>
      <c r="G104" s="1983"/>
      <c r="H104" s="1983"/>
      <c r="I104" s="1983"/>
      <c r="J104" s="1983"/>
      <c r="K104" s="1748"/>
      <c r="L104" s="1748"/>
      <c r="M104" s="1748"/>
      <c r="N104" s="1748"/>
      <c r="O104" s="1748"/>
      <c r="P104" s="1748"/>
      <c r="Q104" s="1748"/>
      <c r="R104" s="1748"/>
    </row>
    <row r="105" spans="1:18" ht="11.45" customHeight="1" x14ac:dyDescent="0.25">
      <c r="A105" s="1987"/>
      <c r="B105" s="1982"/>
      <c r="C105" s="1983"/>
      <c r="D105" s="1983"/>
      <c r="E105" s="1983"/>
      <c r="F105" s="1983"/>
      <c r="G105" s="1983"/>
      <c r="H105" s="1983"/>
      <c r="I105" s="1983"/>
      <c r="J105" s="1983"/>
      <c r="K105" s="1748"/>
      <c r="L105" s="1748"/>
      <c r="M105" s="1748"/>
      <c r="N105" s="1748"/>
      <c r="O105" s="1748"/>
      <c r="P105" s="1748"/>
      <c r="Q105" s="1748"/>
      <c r="R105" s="1748"/>
    </row>
    <row r="106" spans="1:18" ht="21" customHeight="1" x14ac:dyDescent="0.25">
      <c r="A106" s="1986"/>
      <c r="B106" s="1982"/>
      <c r="C106" s="1983"/>
      <c r="D106" s="1983"/>
      <c r="E106" s="1983"/>
      <c r="F106" s="1983"/>
      <c r="G106" s="1983"/>
      <c r="H106" s="1983"/>
      <c r="I106" s="1983"/>
      <c r="J106" s="1983"/>
      <c r="K106" s="1748"/>
      <c r="L106" s="1748"/>
      <c r="M106" s="1748"/>
      <c r="N106" s="1748"/>
      <c r="O106" s="1748"/>
      <c r="P106" s="1748"/>
      <c r="Q106" s="1748"/>
      <c r="R106" s="1748"/>
    </row>
    <row r="107" spans="1:18" ht="11.45" customHeight="1" x14ac:dyDescent="0.25">
      <c r="A107" s="1987"/>
      <c r="B107" s="1982"/>
      <c r="C107" s="1983"/>
      <c r="D107" s="1983"/>
      <c r="E107" s="1983"/>
      <c r="F107" s="1983"/>
      <c r="G107" s="1983"/>
      <c r="H107" s="1983"/>
      <c r="I107" s="1983"/>
      <c r="J107" s="1983"/>
      <c r="K107" s="1748"/>
      <c r="L107" s="1748"/>
      <c r="M107" s="1748"/>
      <c r="N107" s="1748"/>
      <c r="O107" s="1748"/>
      <c r="P107" s="1748"/>
      <c r="Q107" s="1748"/>
      <c r="R107" s="1748"/>
    </row>
    <row r="108" spans="1:18" ht="11.45" customHeight="1" x14ac:dyDescent="0.25">
      <c r="A108" s="1987"/>
      <c r="B108" s="1982"/>
      <c r="C108" s="1983"/>
      <c r="D108" s="1983"/>
      <c r="E108" s="1983"/>
      <c r="F108" s="1983"/>
      <c r="G108" s="1983"/>
      <c r="H108" s="1983"/>
      <c r="I108" s="1983"/>
      <c r="J108" s="1983"/>
      <c r="K108" s="1748"/>
      <c r="L108" s="1748"/>
      <c r="M108" s="1748"/>
      <c r="N108" s="1748"/>
      <c r="O108" s="1748"/>
      <c r="P108" s="1748"/>
      <c r="Q108" s="1748"/>
      <c r="R108" s="1748"/>
    </row>
    <row r="109" spans="1:18" ht="11.45" customHeight="1" x14ac:dyDescent="0.25">
      <c r="A109" s="1987"/>
      <c r="B109" s="1982"/>
      <c r="C109" s="1983"/>
      <c r="D109" s="1983"/>
      <c r="E109" s="1983"/>
      <c r="F109" s="1983"/>
      <c r="G109" s="1983"/>
      <c r="H109" s="1983"/>
      <c r="I109" s="1983"/>
      <c r="J109" s="1983"/>
      <c r="K109" s="1748"/>
      <c r="L109" s="1748"/>
      <c r="M109" s="1748"/>
      <c r="N109" s="1748"/>
      <c r="O109" s="1748"/>
      <c r="P109" s="1748"/>
      <c r="Q109" s="1748"/>
      <c r="R109" s="1748"/>
    </row>
    <row r="110" spans="1:18" ht="21" customHeight="1" x14ac:dyDescent="0.25">
      <c r="A110" s="1986"/>
      <c r="B110" s="1982"/>
      <c r="C110" s="1983"/>
      <c r="D110" s="1983"/>
      <c r="E110" s="1983"/>
      <c r="F110" s="1983"/>
      <c r="G110" s="1983"/>
      <c r="H110" s="1983"/>
      <c r="I110" s="1983"/>
      <c r="J110" s="1983"/>
      <c r="K110" s="1750"/>
      <c r="L110" s="1750"/>
      <c r="M110" s="1750"/>
      <c r="N110" s="1750"/>
      <c r="O110" s="1750"/>
      <c r="P110" s="1750"/>
      <c r="Q110" s="1750"/>
      <c r="R110" s="1750"/>
    </row>
    <row r="111" spans="1:18" ht="11.45" customHeight="1" x14ac:dyDescent="0.25">
      <c r="A111" s="1987"/>
      <c r="B111" s="1982"/>
      <c r="C111" s="1983"/>
      <c r="D111" s="1983"/>
      <c r="E111" s="1983"/>
      <c r="F111" s="1983"/>
      <c r="G111" s="1983"/>
      <c r="H111" s="1983"/>
      <c r="I111" s="1983"/>
      <c r="J111" s="1983"/>
      <c r="K111" s="1750"/>
      <c r="L111" s="1750"/>
      <c r="M111" s="1750"/>
      <c r="N111" s="1750"/>
      <c r="O111" s="1750"/>
      <c r="P111" s="1750"/>
      <c r="Q111" s="1750"/>
      <c r="R111" s="1750"/>
    </row>
    <row r="112" spans="1:18" ht="11.45" customHeight="1" x14ac:dyDescent="0.25">
      <c r="A112" s="1987"/>
      <c r="B112" s="1982"/>
      <c r="C112" s="1983"/>
      <c r="D112" s="1983"/>
      <c r="E112" s="1983"/>
      <c r="F112" s="1983"/>
      <c r="G112" s="1983"/>
      <c r="H112" s="1983"/>
      <c r="I112" s="1983"/>
      <c r="J112" s="1983"/>
      <c r="K112" s="1750"/>
      <c r="L112" s="1750"/>
      <c r="M112" s="1750"/>
      <c r="N112" s="1750"/>
      <c r="O112" s="1750"/>
      <c r="P112" s="1750"/>
      <c r="Q112" s="1750"/>
      <c r="R112" s="1750"/>
    </row>
    <row r="113" spans="1:18" ht="11.45" customHeight="1" x14ac:dyDescent="0.25">
      <c r="A113" s="1987"/>
      <c r="B113" s="1982"/>
      <c r="C113" s="1983"/>
      <c r="D113" s="1983"/>
      <c r="E113" s="1983"/>
      <c r="F113" s="1983"/>
      <c r="G113" s="1983"/>
      <c r="H113" s="1983"/>
      <c r="I113" s="1983"/>
      <c r="J113" s="1983"/>
      <c r="K113" s="1750"/>
      <c r="L113" s="1750"/>
      <c r="M113" s="1750"/>
      <c r="N113" s="1750"/>
      <c r="O113" s="1750"/>
      <c r="P113" s="1750"/>
      <c r="Q113" s="1750"/>
      <c r="R113" s="1750"/>
    </row>
    <row r="114" spans="1:18" ht="5.25" customHeight="1" x14ac:dyDescent="0.25">
      <c r="A114" s="1984"/>
      <c r="B114" s="1982"/>
      <c r="C114" s="1983"/>
      <c r="D114" s="1983"/>
      <c r="E114" s="1983"/>
      <c r="F114" s="1983"/>
      <c r="G114" s="1983"/>
      <c r="H114" s="1983"/>
      <c r="I114" s="1983"/>
      <c r="J114" s="1983"/>
      <c r="K114" s="1738"/>
      <c r="L114" s="1738"/>
      <c r="M114" s="1738"/>
      <c r="N114" s="1738"/>
      <c r="O114" s="1738"/>
      <c r="P114" s="1738"/>
      <c r="Q114" s="1738"/>
      <c r="R114" s="1738"/>
    </row>
    <row r="115" spans="1:18" ht="11.25" customHeight="1" x14ac:dyDescent="0.25">
      <c r="A115" s="1735"/>
      <c r="B115" s="1749"/>
      <c r="C115" s="1750"/>
      <c r="D115" s="1750"/>
      <c r="E115" s="1750"/>
      <c r="F115" s="1750"/>
      <c r="G115" s="1750"/>
      <c r="H115" s="1750"/>
      <c r="I115" s="1750"/>
      <c r="J115" s="1750"/>
      <c r="K115" s="1751"/>
      <c r="L115" s="1751"/>
      <c r="M115" s="1751"/>
      <c r="N115" s="1751"/>
      <c r="O115" s="1751"/>
      <c r="P115" s="1751"/>
      <c r="Q115" s="1751"/>
      <c r="R115" s="1751"/>
    </row>
    <row r="116" spans="1:18" ht="11.25" customHeight="1" x14ac:dyDescent="0.25">
      <c r="A116" s="1742"/>
      <c r="B116" s="1749"/>
      <c r="C116" s="1738"/>
      <c r="D116" s="1738"/>
      <c r="E116" s="1738"/>
      <c r="F116" s="1738"/>
      <c r="G116" s="1738"/>
      <c r="H116" s="1738"/>
      <c r="I116" s="1738"/>
      <c r="J116" s="1738"/>
      <c r="K116" s="1190"/>
      <c r="L116" s="1190"/>
      <c r="M116" s="1190"/>
      <c r="N116" s="1190"/>
      <c r="O116" s="1190"/>
      <c r="P116" s="1190"/>
      <c r="Q116" s="1190"/>
      <c r="R116" s="1190"/>
    </row>
    <row r="117" spans="1:18" ht="11.25" customHeight="1" x14ac:dyDescent="0.25">
      <c r="A117" s="1735"/>
      <c r="B117" s="1739"/>
      <c r="C117" s="1751"/>
      <c r="D117" s="1751"/>
      <c r="E117" s="1751"/>
      <c r="F117" s="1751"/>
      <c r="G117" s="1751"/>
      <c r="H117" s="1751"/>
      <c r="I117" s="1751"/>
      <c r="J117" s="1751"/>
      <c r="K117" s="1190"/>
      <c r="L117" s="1190"/>
      <c r="M117" s="1190"/>
      <c r="N117" s="1190"/>
      <c r="O117" s="1190"/>
      <c r="P117" s="1190"/>
      <c r="Q117" s="1190"/>
      <c r="R117" s="1190"/>
    </row>
    <row r="118" spans="1:18" ht="11.25" customHeight="1" x14ac:dyDescent="0.25">
      <c r="A118" s="1735"/>
      <c r="B118" s="1739"/>
      <c r="C118" s="1190"/>
      <c r="D118" s="1190"/>
      <c r="E118" s="1190"/>
      <c r="F118" s="1190"/>
      <c r="G118" s="1190"/>
      <c r="H118" s="1190"/>
      <c r="I118" s="1190"/>
      <c r="J118" s="1190"/>
      <c r="K118" s="1752"/>
      <c r="L118" s="1752"/>
      <c r="M118" s="1752"/>
      <c r="N118" s="1752"/>
      <c r="O118" s="1752"/>
      <c r="P118" s="1752"/>
      <c r="Q118" s="1752"/>
      <c r="R118" s="1752"/>
    </row>
    <row r="119" spans="1:18" ht="11.25" customHeight="1" x14ac:dyDescent="0.25">
      <c r="A119" s="1735"/>
      <c r="B119" s="1739"/>
      <c r="C119" s="1190"/>
      <c r="D119" s="1190"/>
      <c r="E119" s="1190"/>
      <c r="F119" s="1190"/>
      <c r="G119" s="1190"/>
      <c r="H119" s="1190"/>
      <c r="I119" s="1190"/>
      <c r="J119" s="1190"/>
      <c r="K119" s="1753"/>
      <c r="L119" s="1753"/>
      <c r="M119" s="1753"/>
      <c r="N119" s="1753"/>
      <c r="O119" s="1753"/>
      <c r="P119" s="1753"/>
      <c r="Q119" s="1753"/>
      <c r="R119" s="1753"/>
    </row>
    <row r="120" spans="1:18" ht="11.25" customHeight="1" x14ac:dyDescent="0.25">
      <c r="A120" s="1735"/>
      <c r="B120" s="1739"/>
      <c r="C120" s="1752"/>
      <c r="D120" s="1752"/>
      <c r="E120" s="1752"/>
      <c r="F120" s="1752"/>
      <c r="G120" s="1752"/>
      <c r="H120" s="1752"/>
      <c r="I120" s="1752"/>
      <c r="J120" s="1752"/>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753"/>
      <c r="L124" s="1753"/>
      <c r="M124" s="1753"/>
      <c r="N124" s="1753"/>
      <c r="O124" s="1753"/>
      <c r="P124" s="1753"/>
      <c r="Q124" s="1753"/>
      <c r="R124" s="1753"/>
    </row>
    <row r="125" spans="1:18" ht="11.25" customHeight="1" x14ac:dyDescent="0.25">
      <c r="A125" s="1735"/>
      <c r="B125" s="1739"/>
      <c r="C125" s="1753"/>
      <c r="D125" s="1753"/>
      <c r="E125" s="1753"/>
      <c r="F125" s="1753"/>
      <c r="G125" s="1753"/>
      <c r="H125" s="1753"/>
      <c r="I125" s="1753"/>
      <c r="J125" s="1753"/>
      <c r="K125" s="139"/>
      <c r="L125" s="139"/>
      <c r="M125" s="139"/>
      <c r="N125" s="139"/>
      <c r="O125" s="139"/>
      <c r="P125" s="139"/>
      <c r="Q125" s="139"/>
      <c r="R125" s="139"/>
    </row>
    <row r="126" spans="1:18" ht="5.0999999999999996" customHeight="1" x14ac:dyDescent="0.25">
      <c r="A126" s="1735"/>
      <c r="B126" s="1739"/>
      <c r="C126" s="1753"/>
      <c r="D126" s="1753"/>
      <c r="E126" s="1753"/>
      <c r="F126" s="1753"/>
      <c r="G126" s="1753"/>
      <c r="H126" s="1753"/>
      <c r="I126" s="1753"/>
      <c r="J126" s="1753"/>
      <c r="K126" s="241"/>
      <c r="L126" s="241"/>
      <c r="M126" s="241"/>
      <c r="N126" s="241"/>
      <c r="O126" s="241"/>
      <c r="P126" s="241"/>
      <c r="Q126" s="241"/>
      <c r="R126" s="241"/>
    </row>
    <row r="127" spans="1:18" s="922" customFormat="1" x14ac:dyDescent="0.25">
      <c r="A127" s="1740"/>
      <c r="B127" s="1739"/>
      <c r="C127" s="139"/>
      <c r="D127" s="139"/>
      <c r="E127" s="139"/>
      <c r="F127" s="139"/>
      <c r="G127" s="139"/>
      <c r="H127" s="139"/>
      <c r="I127" s="139"/>
      <c r="J127" s="139"/>
      <c r="K127" s="899"/>
      <c r="L127" s="899"/>
      <c r="M127" s="899"/>
      <c r="N127" s="899"/>
      <c r="O127" s="899"/>
      <c r="P127" s="899"/>
      <c r="Q127" s="899"/>
      <c r="R127" s="899"/>
    </row>
    <row r="128" spans="1:18" s="922" customFormat="1" x14ac:dyDescent="0.25">
      <c r="A128" s="1741"/>
      <c r="B128" s="1736"/>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4"/>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5"/>
      <c r="B131" s="1745"/>
      <c r="C131" s="899"/>
      <c r="D131" s="899"/>
      <c r="E131" s="899"/>
      <c r="F131" s="899"/>
      <c r="G131" s="899"/>
      <c r="H131" s="899"/>
      <c r="I131" s="899"/>
      <c r="J131" s="899"/>
      <c r="K131" s="899"/>
      <c r="L131" s="899"/>
      <c r="M131" s="899"/>
      <c r="N131" s="899"/>
      <c r="O131" s="899"/>
      <c r="P131" s="899"/>
      <c r="Q131" s="899"/>
      <c r="R131" s="899"/>
    </row>
    <row r="132" spans="1:18" x14ac:dyDescent="0.25">
      <c r="A132" s="1368"/>
      <c r="B132" s="1745"/>
      <c r="C132" s="899"/>
      <c r="D132" s="899"/>
      <c r="E132" s="899"/>
      <c r="F132" s="899"/>
      <c r="G132" s="899"/>
      <c r="H132" s="899"/>
      <c r="I132" s="899"/>
      <c r="J132" s="899"/>
      <c r="K132" s="116"/>
      <c r="L132" s="116"/>
      <c r="M132" s="116"/>
      <c r="N132" s="116"/>
      <c r="O132" s="116"/>
      <c r="P132" s="116"/>
      <c r="Q132" s="116"/>
      <c r="R132" s="116"/>
    </row>
    <row r="133" spans="1:18" x14ac:dyDescent="0.25">
      <c r="A133" s="1755"/>
      <c r="B133" s="1745"/>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41"/>
    </row>
    <row r="138" spans="1:18" ht="11.25" customHeight="1" x14ac:dyDescent="0.25">
      <c r="B138" s="1741"/>
    </row>
    <row r="139" spans="1:18" ht="11.25" customHeight="1" x14ac:dyDescent="0.25">
      <c r="B139" s="174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41" activePane="bottomRight" state="frozen"/>
      <selection pane="topRight"/>
      <selection pane="bottomLeft"/>
      <selection pane="bottomRight" activeCell="K42" sqref="K42"/>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LIM471 Ephraim Mogale - Supporting Table SA14 Household bills</v>
      </c>
      <c r="B1" s="25"/>
      <c r="C1" s="25"/>
      <c r="D1" s="25"/>
      <c r="E1" s="25"/>
      <c r="F1" s="25"/>
      <c r="G1" s="25"/>
      <c r="H1" s="25"/>
      <c r="I1" s="25"/>
      <c r="J1" s="25"/>
      <c r="K1" s="25"/>
      <c r="L1" s="25"/>
    </row>
    <row r="2" spans="1:12" ht="27" customHeight="1" x14ac:dyDescent="0.25">
      <c r="A2" s="2680" t="str">
        <f>desc</f>
        <v>Description</v>
      </c>
      <c r="B2" s="2682" t="str">
        <f>head27</f>
        <v>Ref</v>
      </c>
      <c r="C2" s="28" t="str">
        <f>head1b</f>
        <v>2012/13</v>
      </c>
      <c r="D2" s="28" t="str">
        <f>head1A</f>
        <v>2013/14</v>
      </c>
      <c r="E2" s="24" t="str">
        <f>Head1</f>
        <v>2014/15</v>
      </c>
      <c r="F2" s="2653" t="str">
        <f>Head2</f>
        <v>Current Year 2015/16</v>
      </c>
      <c r="G2" s="2654"/>
      <c r="H2" s="2654"/>
      <c r="I2" s="532" t="str">
        <f>Head3</f>
        <v>2016/17 Medium Term Revenue &amp; Expenditure Framework</v>
      </c>
      <c r="J2" s="533"/>
      <c r="K2" s="534"/>
      <c r="L2" s="535"/>
    </row>
    <row r="3" spans="1:12" ht="25.5" x14ac:dyDescent="0.25">
      <c r="A3" s="2681"/>
      <c r="B3" s="2683"/>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1239</v>
      </c>
      <c r="B4" s="2688"/>
      <c r="C4" s="16"/>
      <c r="D4" s="16"/>
      <c r="E4" s="34"/>
      <c r="F4" s="33"/>
      <c r="G4" s="16"/>
      <c r="H4" s="35"/>
      <c r="I4" s="18" t="s">
        <v>780</v>
      </c>
      <c r="J4" s="35"/>
      <c r="K4" s="16"/>
      <c r="L4" s="34"/>
    </row>
    <row r="5" spans="1:12" ht="25.5" x14ac:dyDescent="0.25">
      <c r="A5" s="404" t="s">
        <v>2092</v>
      </c>
      <c r="B5" s="538">
        <v>1</v>
      </c>
      <c r="C5" s="539"/>
      <c r="D5" s="539"/>
      <c r="E5" s="540"/>
      <c r="F5" s="541"/>
      <c r="G5" s="539"/>
      <c r="H5" s="542"/>
      <c r="I5" s="543"/>
      <c r="J5" s="542"/>
      <c r="K5" s="539"/>
      <c r="L5" s="540"/>
    </row>
    <row r="6" spans="1:12" x14ac:dyDescent="0.25">
      <c r="A6" s="175" t="s">
        <v>751</v>
      </c>
      <c r="B6" s="544"/>
      <c r="C6" s="545"/>
      <c r="D6" s="545"/>
      <c r="E6" s="546"/>
      <c r="F6" s="547"/>
      <c r="G6" s="545"/>
      <c r="H6" s="548"/>
      <c r="I6" s="549"/>
      <c r="J6" s="548"/>
      <c r="K6" s="545"/>
      <c r="L6" s="546"/>
    </row>
    <row r="7" spans="1:12" x14ac:dyDescent="0.25">
      <c r="A7" s="182" t="s">
        <v>516</v>
      </c>
      <c r="B7" s="544"/>
      <c r="C7" s="2408">
        <v>367.8</v>
      </c>
      <c r="D7" s="2408"/>
      <c r="E7" s="2409"/>
      <c r="F7" s="2410">
        <v>389.86799999999999</v>
      </c>
      <c r="G7" s="2410">
        <v>389.86799999999999</v>
      </c>
      <c r="H7" s="2410">
        <v>389.86799999999999</v>
      </c>
      <c r="I7" s="2412">
        <v>0.06</v>
      </c>
      <c r="J7" s="2411"/>
      <c r="K7" s="2408"/>
      <c r="L7" s="2409"/>
    </row>
    <row r="8" spans="1:12" x14ac:dyDescent="0.25">
      <c r="A8" s="182" t="s">
        <v>1490</v>
      </c>
      <c r="B8" s="544"/>
      <c r="C8" s="2408">
        <v>68.150000000000006</v>
      </c>
      <c r="D8" s="2408"/>
      <c r="E8" s="2409"/>
      <c r="F8" s="2410">
        <v>76.328000000000003</v>
      </c>
      <c r="G8" s="2410">
        <v>76.328000000000003</v>
      </c>
      <c r="H8" s="2410">
        <v>76.328000000000003</v>
      </c>
      <c r="I8" s="2412">
        <v>0.06</v>
      </c>
      <c r="J8" s="2411">
        <v>154.36000000000001</v>
      </c>
      <c r="K8" s="2408">
        <v>163.6216</v>
      </c>
      <c r="L8" s="2409">
        <v>173.438896</v>
      </c>
    </row>
    <row r="9" spans="1:12" x14ac:dyDescent="0.25">
      <c r="A9" s="182" t="s">
        <v>1491</v>
      </c>
      <c r="B9" s="544"/>
      <c r="C9" s="2408">
        <v>743.15</v>
      </c>
      <c r="D9" s="2408"/>
      <c r="E9" s="2409"/>
      <c r="F9" s="2410">
        <v>832.32799999999997</v>
      </c>
      <c r="G9" s="2410">
        <v>832.32799999999997</v>
      </c>
      <c r="H9" s="2410">
        <v>832.32799999999997</v>
      </c>
      <c r="I9" s="2412">
        <v>0.06</v>
      </c>
      <c r="J9" s="2411"/>
      <c r="K9" s="2408"/>
      <c r="L9" s="2409"/>
    </row>
    <row r="10" spans="1:12" x14ac:dyDescent="0.25">
      <c r="A10" s="182" t="s">
        <v>1492</v>
      </c>
      <c r="B10" s="544"/>
      <c r="C10" s="2408">
        <v>0</v>
      </c>
      <c r="D10" s="2408"/>
      <c r="E10" s="2409"/>
      <c r="F10" s="2410">
        <v>0</v>
      </c>
      <c r="G10" s="2410">
        <v>0</v>
      </c>
      <c r="H10" s="2410">
        <v>0</v>
      </c>
      <c r="I10" s="2412"/>
      <c r="J10" s="2411"/>
      <c r="K10" s="2408"/>
      <c r="L10" s="2409"/>
    </row>
    <row r="11" spans="1:12" x14ac:dyDescent="0.25">
      <c r="A11" s="182" t="s">
        <v>777</v>
      </c>
      <c r="B11" s="544"/>
      <c r="C11" s="2408">
        <v>0</v>
      </c>
      <c r="D11" s="2408"/>
      <c r="E11" s="2409"/>
      <c r="F11" s="2410">
        <v>0</v>
      </c>
      <c r="G11" s="2410">
        <v>0</v>
      </c>
      <c r="H11" s="2410">
        <v>0</v>
      </c>
      <c r="I11" s="2412"/>
      <c r="J11" s="2411"/>
      <c r="K11" s="2408"/>
      <c r="L11" s="2409"/>
    </row>
    <row r="12" spans="1:12" x14ac:dyDescent="0.25">
      <c r="A12" s="182" t="s">
        <v>909</v>
      </c>
      <c r="B12" s="544"/>
      <c r="C12" s="2408">
        <v>0</v>
      </c>
      <c r="D12" s="2408"/>
      <c r="E12" s="2409"/>
      <c r="F12" s="2410">
        <v>0</v>
      </c>
      <c r="G12" s="2410">
        <v>0</v>
      </c>
      <c r="H12" s="2410">
        <v>0</v>
      </c>
      <c r="I12" s="2412"/>
      <c r="J12" s="2411"/>
      <c r="K12" s="2408"/>
      <c r="L12" s="2409"/>
    </row>
    <row r="13" spans="1:12" x14ac:dyDescent="0.25">
      <c r="A13" s="182" t="s">
        <v>626</v>
      </c>
      <c r="B13" s="544"/>
      <c r="C13" s="2408">
        <v>56.94</v>
      </c>
      <c r="D13" s="2408"/>
      <c r="E13" s="2409"/>
      <c r="F13" s="2410">
        <v>60.356400000000001</v>
      </c>
      <c r="G13" s="2410">
        <v>60.356400000000001</v>
      </c>
      <c r="H13" s="2410">
        <v>60.356400000000001</v>
      </c>
      <c r="I13" s="2412">
        <v>0.06</v>
      </c>
      <c r="J13" s="2411">
        <v>95.76</v>
      </c>
      <c r="K13" s="2408">
        <v>101.5056</v>
      </c>
      <c r="L13" s="2409">
        <v>107.59593599999999</v>
      </c>
    </row>
    <row r="14" spans="1:12" x14ac:dyDescent="0.25">
      <c r="A14" s="182" t="s">
        <v>276</v>
      </c>
      <c r="B14" s="544"/>
      <c r="C14" s="2408">
        <v>37.81</v>
      </c>
      <c r="D14" s="2408"/>
      <c r="E14" s="2409"/>
      <c r="F14" s="2410">
        <v>40.078600000000002</v>
      </c>
      <c r="G14" s="2410">
        <v>40.078600000000002</v>
      </c>
      <c r="H14" s="2410">
        <v>40.078600000000002</v>
      </c>
      <c r="I14" s="2412">
        <v>0.06</v>
      </c>
      <c r="J14" s="2411">
        <v>42.4848</v>
      </c>
      <c r="K14" s="2408">
        <v>45.033880000000003</v>
      </c>
      <c r="L14" s="2409">
        <v>47.735900000000001</v>
      </c>
    </row>
    <row r="15" spans="1:12" x14ac:dyDescent="0.25">
      <c r="A15" s="550" t="s">
        <v>139</v>
      </c>
      <c r="B15" s="544"/>
      <c r="C15" s="551">
        <f>SUM(C7:C14)</f>
        <v>1273.8499999999999</v>
      </c>
      <c r="D15" s="551">
        <f>SUM(D7:D14)</f>
        <v>0</v>
      </c>
      <c r="E15" s="552">
        <f>SUM(E7:E14)</f>
        <v>0</v>
      </c>
      <c r="F15" s="553">
        <f>SUM(F7:F14)</f>
        <v>1398.9589999999998</v>
      </c>
      <c r="G15" s="551">
        <f t="shared" ref="G15:L15" si="0">SUM(G7:G14)</f>
        <v>1398.9589999999998</v>
      </c>
      <c r="H15" s="554">
        <f>SUM(H7:H14)</f>
        <v>1398.9589999999998</v>
      </c>
      <c r="I15" s="555">
        <f>IF(ISERROR(ROUND((J15-F15)/F15,3)),0,(ROUND((J15-F15)/F15,3)))</f>
        <v>-0.79100000000000004</v>
      </c>
      <c r="J15" s="554">
        <f t="shared" si="0"/>
        <v>292.60480000000001</v>
      </c>
      <c r="K15" s="551">
        <f t="shared" si="0"/>
        <v>310.16108000000003</v>
      </c>
      <c r="L15" s="552">
        <f t="shared" si="0"/>
        <v>328.77073200000001</v>
      </c>
    </row>
    <row r="16" spans="1:12" x14ac:dyDescent="0.25">
      <c r="A16" s="182" t="s">
        <v>750</v>
      </c>
      <c r="B16" s="544"/>
      <c r="C16" s="2408"/>
      <c r="D16" s="2408"/>
      <c r="E16" s="2409"/>
      <c r="F16" s="2410"/>
      <c r="G16" s="2408"/>
      <c r="H16" s="2411"/>
      <c r="I16" s="2412"/>
      <c r="J16" s="2411"/>
      <c r="K16" s="2408"/>
      <c r="L16" s="2409"/>
    </row>
    <row r="17" spans="1:12" x14ac:dyDescent="0.25">
      <c r="A17" s="175" t="s">
        <v>778</v>
      </c>
      <c r="B17" s="544"/>
      <c r="C17" s="551">
        <f>SUM(C15:C16)</f>
        <v>1273.8499999999999</v>
      </c>
      <c r="D17" s="551">
        <f>SUM(D15:D16)</f>
        <v>0</v>
      </c>
      <c r="E17" s="552">
        <f>SUM(E15:E16)</f>
        <v>0</v>
      </c>
      <c r="F17" s="553">
        <f>SUM(F15:F16)</f>
        <v>1398.9589999999998</v>
      </c>
      <c r="G17" s="551">
        <f t="shared" ref="G17:L17" si="1">SUM(G15:G16)</f>
        <v>1398.9589999999998</v>
      </c>
      <c r="H17" s="554">
        <f t="shared" si="1"/>
        <v>1398.9589999999998</v>
      </c>
      <c r="I17" s="555">
        <f>IF(ISERROR(ROUND((J17-F17)/F17,3)),0,(ROUND((J17-F17)/F17,3)))</f>
        <v>-0.79100000000000004</v>
      </c>
      <c r="J17" s="554">
        <f t="shared" si="1"/>
        <v>292.60480000000001</v>
      </c>
      <c r="K17" s="551">
        <f t="shared" si="1"/>
        <v>310.16108000000003</v>
      </c>
      <c r="L17" s="552">
        <f t="shared" si="1"/>
        <v>328.77073200000001</v>
      </c>
    </row>
    <row r="18" spans="1:12" x14ac:dyDescent="0.25">
      <c r="A18" s="556" t="s">
        <v>134</v>
      </c>
      <c r="B18" s="544"/>
      <c r="C18" s="557"/>
      <c r="D18" s="558">
        <f>IF(ISERROR((D17/C17)-1),0,((D17/C17)-1))</f>
        <v>-1</v>
      </c>
      <c r="E18" s="559">
        <f>IF(ISERROR((E17/D17)-1),0,((E17/D17)-1))</f>
        <v>0</v>
      </c>
      <c r="F18" s="560">
        <f>IF(ISERROR((F17/E17)-1),0,((F17/E17)-1))</f>
        <v>0</v>
      </c>
      <c r="G18" s="558">
        <f>IF(ISERROR((G17/F17)-1),0,((G17/F17)-1))</f>
        <v>0</v>
      </c>
      <c r="H18" s="561">
        <f>IF(ISERROR((H17/G17)-1),0,((H17/G17)-1))</f>
        <v>0</v>
      </c>
      <c r="I18" s="562"/>
      <c r="J18" s="561">
        <f>IF(ISERROR((J17/H17)-1),0,((J17/H17)-1))</f>
        <v>-0.79084104680694711</v>
      </c>
      <c r="K18" s="558">
        <f>IF(ISERROR((K17/J17)-1),0,((K17/J17)-1))</f>
        <v>5.9999972659368517E-2</v>
      </c>
      <c r="L18" s="559">
        <f>IF(ISERROR((L17/K17)-1),0,((L17/K17)-1))</f>
        <v>5.9999958731121295E-2</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2093</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408">
        <v>38.159999999999997</v>
      </c>
      <c r="D22" s="2408"/>
      <c r="E22" s="2409">
        <v>40.44</v>
      </c>
      <c r="F22" s="2410"/>
      <c r="G22" s="2408"/>
      <c r="H22" s="2411"/>
      <c r="I22" s="2412"/>
      <c r="J22" s="2411"/>
      <c r="K22" s="2408"/>
      <c r="L22" s="2409"/>
    </row>
    <row r="23" spans="1:12" ht="11.25" customHeight="1" x14ac:dyDescent="0.25">
      <c r="A23" s="182" t="str">
        <f t="shared" si="2"/>
        <v>Electricity: Basic levy</v>
      </c>
      <c r="B23" s="544"/>
      <c r="C23" s="2408">
        <v>65.08</v>
      </c>
      <c r="D23" s="2408"/>
      <c r="E23" s="2409">
        <v>68.98</v>
      </c>
      <c r="F23" s="2410"/>
      <c r="G23" s="2408"/>
      <c r="H23" s="2411"/>
      <c r="I23" s="2412"/>
      <c r="J23" s="2411"/>
      <c r="K23" s="2408"/>
      <c r="L23" s="2409"/>
    </row>
    <row r="24" spans="1:12" ht="11.25" customHeight="1" x14ac:dyDescent="0.25">
      <c r="A24" s="182" t="str">
        <f t="shared" si="2"/>
        <v>Electricity: Consumption</v>
      </c>
      <c r="B24" s="544"/>
      <c r="C24" s="2408">
        <v>354.86</v>
      </c>
      <c r="D24" s="2408"/>
      <c r="E24" s="2409">
        <v>393.89</v>
      </c>
      <c r="F24" s="2410"/>
      <c r="G24" s="2408"/>
      <c r="H24" s="2411"/>
      <c r="I24" s="2412"/>
      <c r="J24" s="2411"/>
      <c r="K24" s="2408"/>
      <c r="L24" s="2409"/>
    </row>
    <row r="25" spans="1:12" ht="11.25" customHeight="1" x14ac:dyDescent="0.25">
      <c r="A25" s="182" t="str">
        <f t="shared" si="2"/>
        <v>Water: Basic levy</v>
      </c>
      <c r="B25" s="544"/>
      <c r="C25" s="2408">
        <v>0</v>
      </c>
      <c r="D25" s="2408"/>
      <c r="E25" s="2409">
        <v>0</v>
      </c>
      <c r="F25" s="2410"/>
      <c r="G25" s="2408"/>
      <c r="H25" s="2411"/>
      <c r="I25" s="2412"/>
      <c r="J25" s="2411"/>
      <c r="K25" s="2408"/>
      <c r="L25" s="2409"/>
    </row>
    <row r="26" spans="1:12" ht="11.25" customHeight="1" x14ac:dyDescent="0.25">
      <c r="A26" s="182" t="str">
        <f t="shared" si="2"/>
        <v>Water: Consumption</v>
      </c>
      <c r="B26" s="544"/>
      <c r="C26" s="2408">
        <v>0</v>
      </c>
      <c r="D26" s="2408"/>
      <c r="E26" s="2409">
        <v>0</v>
      </c>
      <c r="F26" s="2410"/>
      <c r="G26" s="2408"/>
      <c r="H26" s="2411"/>
      <c r="I26" s="2412"/>
      <c r="J26" s="2411"/>
      <c r="K26" s="2408"/>
      <c r="L26" s="2409"/>
    </row>
    <row r="27" spans="1:12" ht="11.25" customHeight="1" x14ac:dyDescent="0.25">
      <c r="A27" s="182" t="str">
        <f t="shared" si="2"/>
        <v>Sanitation</v>
      </c>
      <c r="B27" s="544"/>
      <c r="C27" s="2408">
        <v>0</v>
      </c>
      <c r="D27" s="2408"/>
      <c r="E27" s="2409">
        <v>0</v>
      </c>
      <c r="F27" s="2410"/>
      <c r="G27" s="2408"/>
      <c r="H27" s="2411"/>
      <c r="I27" s="2412"/>
      <c r="J27" s="2411"/>
      <c r="K27" s="2408"/>
      <c r="L27" s="2409"/>
    </row>
    <row r="28" spans="1:12" ht="11.25" customHeight="1" x14ac:dyDescent="0.25">
      <c r="A28" s="182" t="str">
        <f t="shared" si="2"/>
        <v>Refuse removal</v>
      </c>
      <c r="B28" s="544"/>
      <c r="C28" s="2408">
        <v>56.94</v>
      </c>
      <c r="D28" s="2408"/>
      <c r="E28" s="2409">
        <v>60.35</v>
      </c>
      <c r="F28" s="2410"/>
      <c r="G28" s="2408"/>
      <c r="H28" s="2411"/>
      <c r="I28" s="2412"/>
      <c r="J28" s="2411"/>
      <c r="K28" s="2408"/>
      <c r="L28" s="2409"/>
    </row>
    <row r="29" spans="1:12" ht="11.25" customHeight="1" x14ac:dyDescent="0.25">
      <c r="A29" s="182" t="str">
        <f t="shared" si="2"/>
        <v>Other</v>
      </c>
      <c r="B29" s="544"/>
      <c r="C29" s="2408">
        <v>37.81</v>
      </c>
      <c r="D29" s="2408"/>
      <c r="E29" s="2409">
        <v>40.07</v>
      </c>
      <c r="F29" s="2410"/>
      <c r="G29" s="2408"/>
      <c r="H29" s="2411"/>
      <c r="I29" s="2412"/>
      <c r="J29" s="2411"/>
      <c r="K29" s="2408"/>
      <c r="L29" s="2409"/>
    </row>
    <row r="30" spans="1:12" ht="11.25" customHeight="1" x14ac:dyDescent="0.25">
      <c r="A30" s="550" t="str">
        <f t="shared" si="2"/>
        <v>sub-total</v>
      </c>
      <c r="B30" s="574"/>
      <c r="C30" s="551">
        <f t="shared" ref="C30:H30" si="3">SUM(C22:C29)</f>
        <v>552.84999999999991</v>
      </c>
      <c r="D30" s="551">
        <f t="shared" si="3"/>
        <v>0</v>
      </c>
      <c r="E30" s="552">
        <f t="shared" si="3"/>
        <v>603.73</v>
      </c>
      <c r="F30" s="553">
        <f t="shared" si="3"/>
        <v>0</v>
      </c>
      <c r="G30" s="551">
        <f t="shared" si="3"/>
        <v>0</v>
      </c>
      <c r="H30" s="554">
        <f t="shared" si="3"/>
        <v>0</v>
      </c>
      <c r="I30" s="555">
        <f>IF(ISERROR(ROUND((J30-F30)/F30,3)),0,(ROUND((J30-F30)/F30,3)))</f>
        <v>0</v>
      </c>
      <c r="J30" s="554">
        <f>SUM(J22:J29)</f>
        <v>0</v>
      </c>
      <c r="K30" s="551">
        <f>SUM(K22:K29)</f>
        <v>0</v>
      </c>
      <c r="L30" s="552">
        <f>SUM(L22:L29)</f>
        <v>0</v>
      </c>
    </row>
    <row r="31" spans="1:12" ht="11.25" customHeight="1" x14ac:dyDescent="0.25">
      <c r="A31" s="182" t="str">
        <f t="shared" si="2"/>
        <v>VAT on Services</v>
      </c>
      <c r="B31" s="544"/>
      <c r="C31" s="2408"/>
      <c r="D31" s="2408"/>
      <c r="E31" s="2409"/>
      <c r="F31" s="2410"/>
      <c r="G31" s="2408"/>
      <c r="H31" s="2411"/>
      <c r="I31" s="2412"/>
      <c r="J31" s="2411"/>
      <c r="K31" s="2408"/>
      <c r="L31" s="2409"/>
    </row>
    <row r="32" spans="1:12" ht="11.25" customHeight="1" x14ac:dyDescent="0.25">
      <c r="A32" s="175" t="s">
        <v>779</v>
      </c>
      <c r="B32" s="544"/>
      <c r="C32" s="551">
        <f t="shared" ref="C32:H32" si="4">SUM(C30:C31)</f>
        <v>552.84999999999991</v>
      </c>
      <c r="D32" s="551">
        <f t="shared" si="4"/>
        <v>0</v>
      </c>
      <c r="E32" s="552">
        <f t="shared" si="4"/>
        <v>603.73</v>
      </c>
      <c r="F32" s="553">
        <f t="shared" si="4"/>
        <v>0</v>
      </c>
      <c r="G32" s="551">
        <f t="shared" si="4"/>
        <v>0</v>
      </c>
      <c r="H32" s="554">
        <f t="shared" si="4"/>
        <v>0</v>
      </c>
      <c r="I32" s="555">
        <f>IF(ISERROR(ROUND((J32-F32)/F32,3)),0,(ROUND((J32-F32)/F32,3)))</f>
        <v>0</v>
      </c>
      <c r="J32" s="554">
        <f>SUM(J30:J31)</f>
        <v>0</v>
      </c>
      <c r="K32" s="551">
        <f>SUM(K30:K31)</f>
        <v>0</v>
      </c>
      <c r="L32" s="552">
        <f>SUM(L30:L31)</f>
        <v>0</v>
      </c>
    </row>
    <row r="33" spans="1:15" ht="11.25" customHeight="1" x14ac:dyDescent="0.25">
      <c r="A33" s="556" t="s">
        <v>134</v>
      </c>
      <c r="B33" s="544"/>
      <c r="C33" s="557"/>
      <c r="D33" s="558">
        <f>IF(ISERROR((D32/C32)-1),0,((D32/C32)-1))</f>
        <v>-1</v>
      </c>
      <c r="E33" s="559">
        <f>IF(ISERROR((E32/D32)-1),0,((E32/D32)-1))</f>
        <v>0</v>
      </c>
      <c r="F33" s="560">
        <f>IF(ISERROR((F32/E32)-1),0,((F32/E32)-1))</f>
        <v>-1</v>
      </c>
      <c r="G33" s="558">
        <f>IF(ISERROR((G32/F32)-1),0,((G32/F32)-1))</f>
        <v>0</v>
      </c>
      <c r="H33" s="561">
        <f>IF(ISERROR((H32/G32)-1),0,((H32/G32)-1))</f>
        <v>0</v>
      </c>
      <c r="I33" s="562"/>
      <c r="J33" s="561">
        <f>IF(ISERROR((J32/H32)-1),0,((J32/H32)-1))</f>
        <v>0</v>
      </c>
      <c r="K33" s="558">
        <f>IF(ISERROR((K32/J32)-1),0,((K32/J32)-1))</f>
        <v>0</v>
      </c>
      <c r="L33" s="559">
        <f>IF(ISERROR((L32/K32)-1),0,((L32/K32)-1))</f>
        <v>0</v>
      </c>
    </row>
    <row r="34" spans="1:15" ht="4.5" customHeight="1" x14ac:dyDescent="0.25">
      <c r="A34" s="404"/>
      <c r="B34" s="544"/>
      <c r="C34" s="563"/>
      <c r="D34" s="563"/>
      <c r="E34" s="564">
        <f>IF(ISERROR((E33/D33)-1),0,((E33/D33)-1))</f>
        <v>-1</v>
      </c>
      <c r="F34" s="565">
        <f>IF(ISERROR((F33/E33)-1),0,((F33/E33)-1))</f>
        <v>0</v>
      </c>
      <c r="G34" s="563">
        <f>IF(ISERROR((G33/F33)-1),0,((G33/F33)-1))</f>
        <v>-1</v>
      </c>
      <c r="H34" s="566">
        <f>IF(ISERROR((H33/G33)-1),0,((H33/G33)-1))</f>
        <v>0</v>
      </c>
      <c r="I34" s="549"/>
      <c r="J34" s="566"/>
      <c r="K34" s="563"/>
      <c r="L34" s="564"/>
    </row>
    <row r="35" spans="1:15" ht="25.5" customHeight="1" x14ac:dyDescent="0.25">
      <c r="A35" s="567" t="s">
        <v>2091</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408"/>
      <c r="D37" s="2408"/>
      <c r="E37" s="2409"/>
      <c r="F37" s="2410"/>
      <c r="G37" s="2408"/>
      <c r="H37" s="2411"/>
      <c r="I37" s="2412" t="str">
        <f>IF(J37&gt;0,I13ROUND((J37-F37)/F37,3),"")</f>
        <v/>
      </c>
      <c r="J37" s="2411"/>
      <c r="K37" s="2408"/>
      <c r="L37" s="2409"/>
      <c r="O37" s="247"/>
    </row>
    <row r="38" spans="1:15" x14ac:dyDescent="0.25">
      <c r="A38" s="182" t="str">
        <f t="shared" si="5"/>
        <v>Electricity: Basic levy</v>
      </c>
      <c r="B38" s="544"/>
      <c r="C38" s="2408"/>
      <c r="D38" s="2408"/>
      <c r="E38" s="2409"/>
      <c r="F38" s="2410"/>
      <c r="G38" s="2408"/>
      <c r="H38" s="2411"/>
      <c r="I38" s="2412" t="str">
        <f t="shared" ref="I38:I46" si="6">IF(J38&gt;0,I13ROUND((J38-F38)/F38,3),"")</f>
        <v/>
      </c>
      <c r="J38" s="2411"/>
      <c r="K38" s="2408"/>
      <c r="L38" s="2409"/>
    </row>
    <row r="39" spans="1:15" x14ac:dyDescent="0.25">
      <c r="A39" s="182" t="str">
        <f t="shared" si="5"/>
        <v>Electricity: Consumption</v>
      </c>
      <c r="B39" s="544"/>
      <c r="C39" s="2408"/>
      <c r="D39" s="2408"/>
      <c r="E39" s="2409"/>
      <c r="F39" s="2107">
        <v>1467175.68</v>
      </c>
      <c r="G39" s="2107">
        <v>1467175.68</v>
      </c>
      <c r="H39" s="2107">
        <v>1467175.68</v>
      </c>
      <c r="I39" s="2107">
        <v>1467175.68</v>
      </c>
      <c r="J39" s="2107">
        <v>1555206.22</v>
      </c>
      <c r="K39" s="2107">
        <v>1648518.5932</v>
      </c>
      <c r="L39" s="2107">
        <v>1747429.7087920001</v>
      </c>
    </row>
    <row r="40" spans="1:15" x14ac:dyDescent="0.25">
      <c r="A40" s="182" t="str">
        <f t="shared" si="5"/>
        <v>Water: Basic levy</v>
      </c>
      <c r="B40" s="544"/>
      <c r="C40" s="2408"/>
      <c r="D40" s="2408"/>
      <c r="E40" s="2409"/>
      <c r="F40" s="2410"/>
      <c r="G40" s="2408"/>
      <c r="H40" s="2411"/>
      <c r="I40" s="2412" t="str">
        <f t="shared" si="6"/>
        <v/>
      </c>
      <c r="J40" s="2411"/>
      <c r="K40" s="2408"/>
      <c r="L40" s="2409"/>
    </row>
    <row r="41" spans="1:15" x14ac:dyDescent="0.25">
      <c r="A41" s="182" t="str">
        <f t="shared" si="5"/>
        <v>Water: Consumption</v>
      </c>
      <c r="B41" s="544"/>
      <c r="C41" s="2408"/>
      <c r="D41" s="2408"/>
      <c r="E41" s="2409"/>
      <c r="F41" s="2410"/>
      <c r="G41" s="2408"/>
      <c r="H41" s="2411"/>
      <c r="I41" s="2412" t="str">
        <f t="shared" si="6"/>
        <v/>
      </c>
      <c r="J41" s="2411"/>
      <c r="K41" s="2408"/>
      <c r="L41" s="2409"/>
    </row>
    <row r="42" spans="1:15" x14ac:dyDescent="0.25">
      <c r="A42" s="182" t="str">
        <f t="shared" si="5"/>
        <v>Sanitation</v>
      </c>
      <c r="B42" s="544"/>
      <c r="C42" s="2408"/>
      <c r="D42" s="2408"/>
      <c r="E42" s="2409"/>
      <c r="F42" s="2410"/>
      <c r="G42" s="2408"/>
      <c r="H42" s="2411"/>
      <c r="I42" s="2412" t="str">
        <f t="shared" si="6"/>
        <v/>
      </c>
      <c r="J42" s="2411"/>
      <c r="K42" s="2408"/>
      <c r="L42" s="2409"/>
    </row>
    <row r="43" spans="1:15" x14ac:dyDescent="0.25">
      <c r="A43" s="182" t="str">
        <f t="shared" si="5"/>
        <v>Refuse removal</v>
      </c>
      <c r="B43" s="544"/>
      <c r="C43" s="2408"/>
      <c r="D43" s="2408"/>
      <c r="E43" s="2409"/>
      <c r="F43" s="2410"/>
      <c r="G43" s="2408"/>
      <c r="H43" s="2411"/>
      <c r="I43" s="2412" t="str">
        <f t="shared" si="6"/>
        <v/>
      </c>
      <c r="J43" s="2411"/>
      <c r="K43" s="2408"/>
      <c r="L43" s="2409"/>
    </row>
    <row r="44" spans="1:15" x14ac:dyDescent="0.25">
      <c r="A44" s="182" t="str">
        <f t="shared" si="5"/>
        <v>Other</v>
      </c>
      <c r="B44" s="544"/>
      <c r="C44" s="2408"/>
      <c r="D44" s="2408"/>
      <c r="E44" s="2409"/>
      <c r="F44" s="2410"/>
      <c r="G44" s="2408"/>
      <c r="H44" s="2411"/>
      <c r="I44" s="2412" t="str">
        <f t="shared" si="6"/>
        <v/>
      </c>
      <c r="J44" s="2411"/>
      <c r="K44" s="2408"/>
      <c r="L44" s="2409"/>
    </row>
    <row r="45" spans="1:15" x14ac:dyDescent="0.25">
      <c r="A45" s="550" t="str">
        <f t="shared" si="5"/>
        <v>sub-total</v>
      </c>
      <c r="B45" s="574"/>
      <c r="C45" s="551">
        <f>SUM(C37:C44)</f>
        <v>0</v>
      </c>
      <c r="D45" s="551">
        <f>SUM(D37:D44)</f>
        <v>0</v>
      </c>
      <c r="E45" s="552">
        <f>SUM(E37:E44)</f>
        <v>0</v>
      </c>
      <c r="F45" s="553">
        <f>SUM(F37:F44)</f>
        <v>1467175.68</v>
      </c>
      <c r="G45" s="551">
        <f t="shared" ref="G45:L45" si="7">SUM(G37:G44)</f>
        <v>1467175.68</v>
      </c>
      <c r="H45" s="554">
        <f t="shared" si="7"/>
        <v>1467175.68</v>
      </c>
      <c r="I45" s="555">
        <f>IF(ISERROR(ROUND((J45-F45)/F45,3)),0,(ROUND((J45-F45)/F45,3)))</f>
        <v>0.06</v>
      </c>
      <c r="J45" s="554">
        <f t="shared" si="7"/>
        <v>1555206.22</v>
      </c>
      <c r="K45" s="551">
        <f t="shared" si="7"/>
        <v>1648518.5932</v>
      </c>
      <c r="L45" s="552">
        <f t="shared" si="7"/>
        <v>1747429.7087920001</v>
      </c>
    </row>
    <row r="46" spans="1:15" x14ac:dyDescent="0.25">
      <c r="A46" s="182" t="str">
        <f t="shared" si="5"/>
        <v>VAT on Services</v>
      </c>
      <c r="B46" s="544"/>
      <c r="C46" s="2408"/>
      <c r="D46" s="2408"/>
      <c r="E46" s="2409"/>
      <c r="F46" s="2410"/>
      <c r="G46" s="2408"/>
      <c r="H46" s="2411"/>
      <c r="I46" s="2412" t="str">
        <f t="shared" si="6"/>
        <v/>
      </c>
      <c r="J46" s="2411"/>
      <c r="K46" s="2408"/>
      <c r="L46" s="2409"/>
    </row>
    <row r="47" spans="1:15" x14ac:dyDescent="0.25">
      <c r="A47" s="175" t="s">
        <v>779</v>
      </c>
      <c r="B47" s="544"/>
      <c r="C47" s="551">
        <f>SUM(C45:C46)</f>
        <v>0</v>
      </c>
      <c r="D47" s="551">
        <f>SUM(D45:D46)</f>
        <v>0</v>
      </c>
      <c r="E47" s="552">
        <f>SUM(E45:E46)</f>
        <v>0</v>
      </c>
      <c r="F47" s="553">
        <f>SUM(F45:F46)</f>
        <v>1467175.68</v>
      </c>
      <c r="G47" s="551">
        <f t="shared" ref="G47:L47" si="8">SUM(G45:G46)</f>
        <v>1467175.68</v>
      </c>
      <c r="H47" s="554">
        <f t="shared" si="8"/>
        <v>1467175.68</v>
      </c>
      <c r="I47" s="555">
        <f>IF(ISERROR(ROUND((J47-F47)/F47,3)),0,(ROUND((J47-F47)/F47,3)))</f>
        <v>0.06</v>
      </c>
      <c r="J47" s="554">
        <f t="shared" si="8"/>
        <v>1555206.22</v>
      </c>
      <c r="K47" s="551">
        <f t="shared" si="8"/>
        <v>1648518.5932</v>
      </c>
      <c r="L47" s="552">
        <f t="shared" si="8"/>
        <v>1747429.7087920001</v>
      </c>
    </row>
    <row r="48" spans="1:15" x14ac:dyDescent="0.25">
      <c r="A48" s="556" t="str">
        <f>A18</f>
        <v>% increase/-decrease</v>
      </c>
      <c r="B48" s="544"/>
      <c r="C48" s="557"/>
      <c r="D48" s="558">
        <f>IF(ISERROR((D47/C47)-1),0,((D47/C47)-1))</f>
        <v>0</v>
      </c>
      <c r="E48" s="559">
        <f>IF(ISERROR((E47/D47)-1),0,((E47/D47)-1))</f>
        <v>0</v>
      </c>
      <c r="F48" s="560">
        <f>IF(ISERROR((F47/E47)-1),0,((F47/E47)-1))</f>
        <v>0</v>
      </c>
      <c r="G48" s="558">
        <f>IF(ISERROR((G47/F47)-1),0,((G47/F47)-1))</f>
        <v>0</v>
      </c>
      <c r="H48" s="561">
        <f>IF(ISERROR((H47/G47)-1),0,((H47/G47)-1))</f>
        <v>0</v>
      </c>
      <c r="I48" s="562"/>
      <c r="J48" s="561">
        <f>IF(ISERROR((J47/H47)-1),0,((J47/H47)-1))</f>
        <v>5.9999999454734665E-2</v>
      </c>
      <c r="K48" s="558">
        <f>IF(ISERROR((K47/J47)-1),0,((K47/J47)-1))</f>
        <v>6.0000000000000053E-2</v>
      </c>
      <c r="L48" s="559">
        <f>IF(ISERROR((L47/K47)-1),0,((L47/K47)-1))</f>
        <v>6.0000000000000053E-2</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2094</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2095</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2126</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2189</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14" activePane="bottomRight" state="frozen"/>
      <selection pane="topRight"/>
      <selection pane="bottomLeft"/>
      <selection pane="bottomRight" activeCell="L42" sqref="L4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LIM471 Ephraim Mogale - Supporting Table SA15 Investment particulars by type</v>
      </c>
      <c r="B1" s="25"/>
      <c r="C1" s="25"/>
      <c r="D1" s="25"/>
      <c r="E1" s="25"/>
      <c r="F1" s="25"/>
      <c r="G1" s="25"/>
      <c r="H1" s="25"/>
      <c r="I1" s="25"/>
      <c r="J1" s="25"/>
      <c r="K1" s="25"/>
    </row>
    <row r="2" spans="1:11" ht="28.5" customHeight="1" x14ac:dyDescent="0.25">
      <c r="A2" s="2710" t="s">
        <v>561</v>
      </c>
      <c r="B2" s="2682" t="str">
        <f>head27</f>
        <v>Ref</v>
      </c>
      <c r="C2" s="23"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2711"/>
      <c r="B3" s="268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625</v>
      </c>
      <c r="B4" s="2688"/>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1499</v>
      </c>
      <c r="B6" s="171"/>
      <c r="C6" s="2413"/>
      <c r="D6" s="2413"/>
      <c r="E6" s="2414"/>
      <c r="F6" s="2415"/>
      <c r="G6" s="2413"/>
      <c r="H6" s="2416"/>
      <c r="I6" s="2417"/>
      <c r="J6" s="2413"/>
      <c r="K6" s="2414"/>
    </row>
    <row r="7" spans="1:11" ht="11.25" customHeight="1" x14ac:dyDescent="0.25">
      <c r="A7" s="128" t="s">
        <v>1500</v>
      </c>
      <c r="B7" s="171"/>
      <c r="C7" s="2413"/>
      <c r="D7" s="2413"/>
      <c r="E7" s="2414"/>
      <c r="F7" s="2415"/>
      <c r="G7" s="2413"/>
      <c r="H7" s="2416"/>
      <c r="I7" s="2417"/>
      <c r="J7" s="2413"/>
      <c r="K7" s="2414"/>
    </row>
    <row r="8" spans="1:11" ht="11.25" customHeight="1" x14ac:dyDescent="0.25">
      <c r="A8" s="128" t="s">
        <v>1502</v>
      </c>
      <c r="B8" s="171"/>
      <c r="C8" s="2413"/>
      <c r="D8" s="2413">
        <v>21195694</v>
      </c>
      <c r="E8" s="2414">
        <v>22399847</v>
      </c>
      <c r="F8" s="2415">
        <v>15000000</v>
      </c>
      <c r="G8" s="2413">
        <v>15000000</v>
      </c>
      <c r="H8" s="2416">
        <v>15000000</v>
      </c>
      <c r="I8" s="2417">
        <v>47179807.997299999</v>
      </c>
      <c r="J8" s="2413">
        <v>48133807.997299999</v>
      </c>
      <c r="K8" s="2414">
        <v>49145047.997299999</v>
      </c>
    </row>
    <row r="9" spans="1:11" ht="11.25" customHeight="1" x14ac:dyDescent="0.25">
      <c r="A9" s="128" t="s">
        <v>1501</v>
      </c>
      <c r="B9" s="171"/>
      <c r="C9" s="2413"/>
      <c r="D9" s="2413"/>
      <c r="E9" s="2414"/>
      <c r="F9" s="2415"/>
      <c r="G9" s="2413"/>
      <c r="H9" s="2416"/>
      <c r="I9" s="2417"/>
      <c r="J9" s="2413"/>
      <c r="K9" s="2414"/>
    </row>
    <row r="10" spans="1:11" ht="11.25" customHeight="1" x14ac:dyDescent="0.25">
      <c r="A10" s="128" t="s">
        <v>1503</v>
      </c>
      <c r="B10" s="171"/>
      <c r="C10" s="2413"/>
      <c r="D10" s="2413"/>
      <c r="E10" s="2414"/>
      <c r="F10" s="2415"/>
      <c r="G10" s="2413"/>
      <c r="H10" s="2416"/>
      <c r="I10" s="2417"/>
      <c r="J10" s="2413"/>
      <c r="K10" s="2414"/>
    </row>
    <row r="11" spans="1:11" ht="11.25" customHeight="1" x14ac:dyDescent="0.25">
      <c r="A11" s="128" t="s">
        <v>1504</v>
      </c>
      <c r="B11" s="171"/>
      <c r="C11" s="2413"/>
      <c r="D11" s="2413"/>
      <c r="E11" s="2414"/>
      <c r="F11" s="2415"/>
      <c r="G11" s="2413"/>
      <c r="H11" s="2416"/>
      <c r="I11" s="2417"/>
      <c r="J11" s="2413"/>
      <c r="K11" s="2414"/>
    </row>
    <row r="12" spans="1:11" ht="11.25" customHeight="1" x14ac:dyDescent="0.25">
      <c r="A12" s="128" t="s">
        <v>1505</v>
      </c>
      <c r="B12" s="171"/>
      <c r="C12" s="2413"/>
      <c r="D12" s="2413"/>
      <c r="E12" s="2414"/>
      <c r="F12" s="2415"/>
      <c r="G12" s="2413"/>
      <c r="H12" s="2416"/>
      <c r="I12" s="2417"/>
      <c r="J12" s="2413"/>
      <c r="K12" s="2414"/>
    </row>
    <row r="13" spans="1:11" ht="11.25" customHeight="1" x14ac:dyDescent="0.25">
      <c r="A13" s="128" t="s">
        <v>1506</v>
      </c>
      <c r="B13" s="171"/>
      <c r="C13" s="2413"/>
      <c r="D13" s="2413"/>
      <c r="E13" s="2414"/>
      <c r="F13" s="2415"/>
      <c r="G13" s="2413"/>
      <c r="H13" s="2416"/>
      <c r="I13" s="2417"/>
      <c r="J13" s="2413"/>
      <c r="K13" s="2414"/>
    </row>
    <row r="14" spans="1:11" ht="11.25" customHeight="1" x14ac:dyDescent="0.25">
      <c r="A14" s="128" t="s">
        <v>1507</v>
      </c>
      <c r="B14" s="171"/>
      <c r="C14" s="2413"/>
      <c r="D14" s="2413"/>
      <c r="E14" s="2414"/>
      <c r="F14" s="2415"/>
      <c r="G14" s="2413"/>
      <c r="H14" s="2416"/>
      <c r="I14" s="2417"/>
      <c r="J14" s="2413"/>
      <c r="K14" s="2414"/>
    </row>
    <row r="15" spans="1:11" ht="11.25" customHeight="1" x14ac:dyDescent="0.25">
      <c r="A15" s="128" t="s">
        <v>1508</v>
      </c>
      <c r="B15" s="171"/>
      <c r="C15" s="2413"/>
      <c r="D15" s="2413"/>
      <c r="E15" s="2414"/>
      <c r="F15" s="2415"/>
      <c r="G15" s="2413"/>
      <c r="H15" s="2416"/>
      <c r="I15" s="2417"/>
      <c r="J15" s="2413"/>
      <c r="K15" s="2414"/>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0</v>
      </c>
      <c r="D17" s="594">
        <f t="shared" si="0"/>
        <v>21195694</v>
      </c>
      <c r="E17" s="595">
        <f t="shared" si="0"/>
        <v>22399847</v>
      </c>
      <c r="F17" s="596">
        <f t="shared" si="0"/>
        <v>15000000</v>
      </c>
      <c r="G17" s="594">
        <f t="shared" si="0"/>
        <v>15000000</v>
      </c>
      <c r="H17" s="597">
        <f t="shared" si="0"/>
        <v>15000000</v>
      </c>
      <c r="I17" s="598">
        <f t="shared" si="0"/>
        <v>47179807.997299999</v>
      </c>
      <c r="J17" s="594">
        <f t="shared" si="0"/>
        <v>48133807.997299999</v>
      </c>
      <c r="K17" s="595">
        <f t="shared" si="0"/>
        <v>49145047.997299999</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637</v>
      </c>
      <c r="B19" s="171"/>
      <c r="C19" s="592"/>
      <c r="D19" s="592"/>
      <c r="E19" s="588"/>
      <c r="F19" s="589"/>
      <c r="G19" s="592"/>
      <c r="H19" s="590"/>
      <c r="I19" s="593"/>
      <c r="J19" s="592"/>
      <c r="K19" s="588"/>
    </row>
    <row r="20" spans="1:11" ht="11.25" customHeight="1" x14ac:dyDescent="0.25">
      <c r="A20" s="128" t="str">
        <f>A6</f>
        <v>Securities - National Government</v>
      </c>
      <c r="B20" s="171"/>
      <c r="C20" s="2413"/>
      <c r="D20" s="2413"/>
      <c r="E20" s="2414"/>
      <c r="F20" s="2415"/>
      <c r="G20" s="2413"/>
      <c r="H20" s="2416"/>
      <c r="I20" s="2417"/>
      <c r="J20" s="2413"/>
      <c r="K20" s="2414"/>
    </row>
    <row r="21" spans="1:11" ht="11.25" customHeight="1" x14ac:dyDescent="0.25">
      <c r="A21" s="128" t="str">
        <f t="shared" ref="A21:A28" si="1">A7</f>
        <v>Listed Corporate Bonds</v>
      </c>
      <c r="B21" s="171"/>
      <c r="C21" s="2413"/>
      <c r="D21" s="2413"/>
      <c r="E21" s="2414"/>
      <c r="F21" s="2415"/>
      <c r="G21" s="2413"/>
      <c r="H21" s="2416"/>
      <c r="I21" s="2417"/>
      <c r="J21" s="2413"/>
      <c r="K21" s="2414"/>
    </row>
    <row r="22" spans="1:11" ht="11.25" customHeight="1" x14ac:dyDescent="0.25">
      <c r="A22" s="128" t="str">
        <f t="shared" si="1"/>
        <v>Deposits - Bank</v>
      </c>
      <c r="B22" s="171"/>
      <c r="C22" s="2413"/>
      <c r="D22" s="2413"/>
      <c r="E22" s="2414"/>
      <c r="F22" s="2415"/>
      <c r="G22" s="2413"/>
      <c r="H22" s="2416"/>
      <c r="I22" s="2417"/>
      <c r="J22" s="2413"/>
      <c r="K22" s="2414"/>
    </row>
    <row r="23" spans="1:11" ht="11.25" customHeight="1" x14ac:dyDescent="0.25">
      <c r="A23" s="128" t="str">
        <f t="shared" si="1"/>
        <v>Deposits - Public Investment Commissioners</v>
      </c>
      <c r="B23" s="171"/>
      <c r="C23" s="2413"/>
      <c r="D23" s="2413"/>
      <c r="E23" s="2414"/>
      <c r="F23" s="2415"/>
      <c r="G23" s="2413"/>
      <c r="H23" s="2416"/>
      <c r="I23" s="2417"/>
      <c r="J23" s="2413"/>
      <c r="K23" s="2414"/>
    </row>
    <row r="24" spans="1:11" ht="11.25" customHeight="1" x14ac:dyDescent="0.25">
      <c r="A24" s="128" t="str">
        <f t="shared" si="1"/>
        <v>Deposits - Corporation for Public Deposits</v>
      </c>
      <c r="B24" s="171"/>
      <c r="C24" s="2413"/>
      <c r="D24" s="2413"/>
      <c r="E24" s="2414"/>
      <c r="F24" s="2415"/>
      <c r="G24" s="2413"/>
      <c r="H24" s="2416"/>
      <c r="I24" s="2417"/>
      <c r="J24" s="2413"/>
      <c r="K24" s="2414"/>
    </row>
    <row r="25" spans="1:11" ht="11.25" customHeight="1" x14ac:dyDescent="0.25">
      <c r="A25" s="128" t="str">
        <f t="shared" si="1"/>
        <v>Bankers Acceptance Certificates</v>
      </c>
      <c r="B25" s="171"/>
      <c r="C25" s="2413"/>
      <c r="D25" s="2413"/>
      <c r="E25" s="2414"/>
      <c r="F25" s="2415"/>
      <c r="G25" s="2413"/>
      <c r="H25" s="2416"/>
      <c r="I25" s="2417"/>
      <c r="J25" s="2413"/>
      <c r="K25" s="2414"/>
    </row>
    <row r="26" spans="1:11" ht="11.25" customHeight="1" x14ac:dyDescent="0.25">
      <c r="A26" s="128" t="str">
        <f t="shared" si="1"/>
        <v>Negotiable Certificates of Deposit - Banks</v>
      </c>
      <c r="B26" s="171"/>
      <c r="C26" s="2413"/>
      <c r="D26" s="2413"/>
      <c r="E26" s="2414"/>
      <c r="F26" s="2415"/>
      <c r="G26" s="2413"/>
      <c r="H26" s="2416"/>
      <c r="I26" s="2417"/>
      <c r="J26" s="2413"/>
      <c r="K26" s="2414"/>
    </row>
    <row r="27" spans="1:11" ht="11.25" customHeight="1" x14ac:dyDescent="0.25">
      <c r="A27" s="128" t="str">
        <f t="shared" si="1"/>
        <v>Guaranteed Endowment Policies (sinking)</v>
      </c>
      <c r="B27" s="171"/>
      <c r="C27" s="2413"/>
      <c r="D27" s="2413"/>
      <c r="E27" s="2414"/>
      <c r="F27" s="2415"/>
      <c r="G27" s="2413"/>
      <c r="H27" s="2416"/>
      <c r="I27" s="2417"/>
      <c r="J27" s="2413"/>
      <c r="K27" s="2414"/>
    </row>
    <row r="28" spans="1:11" ht="11.25" customHeight="1" x14ac:dyDescent="0.25">
      <c r="A28" s="128" t="str">
        <f t="shared" si="1"/>
        <v>Repurchase Agreements - Banks</v>
      </c>
      <c r="B28" s="171"/>
      <c r="C28" s="2413"/>
      <c r="D28" s="2413"/>
      <c r="E28" s="2414"/>
      <c r="F28" s="2415"/>
      <c r="G28" s="2413"/>
      <c r="H28" s="2416"/>
      <c r="I28" s="2417"/>
      <c r="J28" s="2413"/>
      <c r="K28" s="2414"/>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0</v>
      </c>
      <c r="D32" s="605">
        <f t="shared" si="3"/>
        <v>21195694</v>
      </c>
      <c r="E32" s="606">
        <f t="shared" si="3"/>
        <v>22399847</v>
      </c>
      <c r="F32" s="607">
        <f t="shared" si="3"/>
        <v>15000000</v>
      </c>
      <c r="G32" s="605">
        <f t="shared" si="3"/>
        <v>15000000</v>
      </c>
      <c r="H32" s="608">
        <f t="shared" si="3"/>
        <v>15000000</v>
      </c>
      <c r="I32" s="609">
        <f t="shared" si="3"/>
        <v>47179807.997299999</v>
      </c>
      <c r="J32" s="605">
        <f t="shared" si="3"/>
        <v>48133807.997299999</v>
      </c>
      <c r="K32" s="606">
        <f t="shared" si="3"/>
        <v>49145047.997299999</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1226</v>
      </c>
      <c r="B35" s="897"/>
      <c r="C35" s="901"/>
      <c r="D35" s="900"/>
      <c r="E35" s="901"/>
      <c r="F35" s="901"/>
      <c r="G35" s="901"/>
      <c r="H35" s="901"/>
      <c r="I35" s="901"/>
      <c r="J35" s="901"/>
      <c r="K35" s="901"/>
    </row>
    <row r="36" spans="1:15" ht="10.5" customHeight="1" x14ac:dyDescent="0.25">
      <c r="A36" s="166" t="s">
        <v>524</v>
      </c>
      <c r="B36" s="114"/>
      <c r="C36" s="222">
        <f>C17-'A6-FinPos'!C7-'A6-FinPos'!C16</f>
        <v>0</v>
      </c>
      <c r="D36" s="222">
        <f>D17-'A6-FinPos'!D7-'A6-FinPos'!D16</f>
        <v>0</v>
      </c>
      <c r="E36" s="324">
        <f>E17-'A6-FinPos'!E7-'A6-FinPos'!E16</f>
        <v>0</v>
      </c>
      <c r="F36" s="480">
        <f>F17-'A6-FinPos'!F7-'A6-FinPos'!F16</f>
        <v>0</v>
      </c>
      <c r="G36" s="324">
        <f>G17-'A6-FinPos'!G7-'A6-FinPos'!G16</f>
        <v>0</v>
      </c>
      <c r="H36" s="324">
        <f>H17-'A6-FinPos'!H7-'A6-FinPos'!H16</f>
        <v>0</v>
      </c>
      <c r="I36" s="324">
        <f>I17-'A6-FinPos'!J7-'A6-FinPos'!J16</f>
        <v>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C4" activePane="bottomRight" state="frozen"/>
      <selection pane="topRight"/>
      <selection pane="bottomLeft"/>
      <selection pane="bottomRight" activeCell="K6" sqref="K6"/>
    </sheetView>
  </sheetViews>
  <sheetFormatPr defaultRowHeight="12.75" x14ac:dyDescent="0.25"/>
  <cols>
    <col min="1" max="1" width="30.7109375" style="27" customWidth="1"/>
    <col min="2" max="2" width="3" style="1885"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LIM471 Ephraim Mogale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706" t="s">
        <v>528</v>
      </c>
      <c r="E2" s="1756" t="s">
        <v>1956</v>
      </c>
      <c r="F2" s="1756" t="s">
        <v>1955</v>
      </c>
      <c r="G2" s="1756" t="s">
        <v>1961</v>
      </c>
      <c r="H2" s="1756" t="s">
        <v>2114</v>
      </c>
      <c r="I2" s="1756" t="s">
        <v>1957</v>
      </c>
      <c r="J2" s="2689" t="s">
        <v>529</v>
      </c>
      <c r="K2" s="769" t="s">
        <v>2179</v>
      </c>
      <c r="L2" s="611" t="s">
        <v>530</v>
      </c>
      <c r="M2" s="28" t="s">
        <v>2183</v>
      </c>
      <c r="N2" s="28" t="s">
        <v>2180</v>
      </c>
      <c r="O2" s="611" t="s">
        <v>2181</v>
      </c>
    </row>
    <row r="3" spans="1:15" ht="12.75" customHeight="1" x14ac:dyDescent="0.25">
      <c r="A3" s="19" t="s">
        <v>526</v>
      </c>
      <c r="B3" s="612">
        <v>1</v>
      </c>
      <c r="C3" s="16" t="s">
        <v>1509</v>
      </c>
      <c r="D3" s="2707"/>
      <c r="E3" s="860"/>
      <c r="F3" s="860"/>
      <c r="G3" s="860"/>
      <c r="H3" s="860"/>
      <c r="I3" s="860"/>
      <c r="J3" s="2690"/>
      <c r="K3" s="2725"/>
      <c r="L3" s="2725"/>
      <c r="M3" s="2725"/>
      <c r="N3" s="2725"/>
      <c r="O3" s="2726"/>
    </row>
    <row r="4" spans="1:15" ht="12.75" customHeight="1" x14ac:dyDescent="0.25">
      <c r="A4" s="127" t="s">
        <v>177</v>
      </c>
      <c r="B4" s="1881"/>
      <c r="C4" s="60"/>
      <c r="D4" s="613"/>
      <c r="E4" s="613"/>
      <c r="F4" s="613"/>
      <c r="G4" s="613"/>
      <c r="H4" s="613"/>
      <c r="I4" s="613"/>
      <c r="J4" s="614"/>
      <c r="K4" s="2016"/>
      <c r="L4" s="2037"/>
      <c r="M4" s="2017"/>
      <c r="N4" s="2017"/>
      <c r="O4" s="615"/>
    </row>
    <row r="5" spans="1:15" ht="11.25" customHeight="1" x14ac:dyDescent="0.25">
      <c r="A5" s="2418" t="s">
        <v>2375</v>
      </c>
      <c r="B5" s="1882"/>
      <c r="C5" s="2326" t="s">
        <v>2376</v>
      </c>
      <c r="D5" s="2419" t="s">
        <v>2377</v>
      </c>
      <c r="E5" s="2419" t="s">
        <v>2378</v>
      </c>
      <c r="F5" s="2419" t="s">
        <v>2379</v>
      </c>
      <c r="G5" s="2419" t="s">
        <v>2380</v>
      </c>
      <c r="H5" s="2419" t="s">
        <v>2381</v>
      </c>
      <c r="I5" s="2419" t="s">
        <v>2381</v>
      </c>
      <c r="J5" s="2420" t="s">
        <v>2382</v>
      </c>
      <c r="K5" s="2417">
        <v>30039207.529300001</v>
      </c>
      <c r="L5" s="2421">
        <v>1240600.4680000001</v>
      </c>
      <c r="M5" s="2413"/>
      <c r="N5" s="2413"/>
      <c r="O5" s="2041">
        <f>SUM(K5:N5)</f>
        <v>31279807.997299999</v>
      </c>
    </row>
    <row r="6" spans="1:15" ht="11.25" customHeight="1" x14ac:dyDescent="0.25">
      <c r="A6" s="2418"/>
      <c r="B6" s="1882"/>
      <c r="C6" s="2326"/>
      <c r="D6" s="2419"/>
      <c r="E6" s="2419"/>
      <c r="F6" s="2419"/>
      <c r="G6" s="2419"/>
      <c r="H6" s="2419"/>
      <c r="I6" s="2419"/>
      <c r="J6" s="2420"/>
      <c r="K6" s="2417"/>
      <c r="L6" s="2421"/>
      <c r="M6" s="2413"/>
      <c r="N6" s="2413"/>
      <c r="O6" s="2041">
        <f t="shared" ref="O6:O11" si="0">SUM(K6:N6)</f>
        <v>0</v>
      </c>
    </row>
    <row r="7" spans="1:15" ht="11.25" customHeight="1" x14ac:dyDescent="0.25">
      <c r="A7" s="2418"/>
      <c r="B7" s="1882"/>
      <c r="C7" s="2326"/>
      <c r="D7" s="2419"/>
      <c r="E7" s="2419"/>
      <c r="F7" s="2419"/>
      <c r="G7" s="2419"/>
      <c r="H7" s="2419"/>
      <c r="I7" s="2419"/>
      <c r="J7" s="2420"/>
      <c r="K7" s="2417"/>
      <c r="L7" s="2421"/>
      <c r="M7" s="2413"/>
      <c r="N7" s="2413"/>
      <c r="O7" s="2041">
        <f t="shared" si="0"/>
        <v>0</v>
      </c>
    </row>
    <row r="8" spans="1:15" ht="11.25" customHeight="1" x14ac:dyDescent="0.25">
      <c r="A8" s="2418"/>
      <c r="B8" s="1882"/>
      <c r="C8" s="2326"/>
      <c r="D8" s="2419"/>
      <c r="E8" s="2419"/>
      <c r="F8" s="2419"/>
      <c r="G8" s="2419"/>
      <c r="H8" s="2419"/>
      <c r="I8" s="2419"/>
      <c r="J8" s="2420"/>
      <c r="K8" s="2417"/>
      <c r="L8" s="2421"/>
      <c r="M8" s="2413"/>
      <c r="N8" s="2413"/>
      <c r="O8" s="2041">
        <f t="shared" si="0"/>
        <v>0</v>
      </c>
    </row>
    <row r="9" spans="1:15" ht="11.25" customHeight="1" x14ac:dyDescent="0.25">
      <c r="A9" s="2418"/>
      <c r="B9" s="1882"/>
      <c r="C9" s="2326"/>
      <c r="D9" s="2419"/>
      <c r="E9" s="2419"/>
      <c r="F9" s="2419"/>
      <c r="G9" s="2419"/>
      <c r="H9" s="2419"/>
      <c r="I9" s="2419"/>
      <c r="J9" s="2420"/>
      <c r="K9" s="2417"/>
      <c r="L9" s="2421"/>
      <c r="M9" s="2413"/>
      <c r="N9" s="2413"/>
      <c r="O9" s="2041">
        <f t="shared" si="0"/>
        <v>0</v>
      </c>
    </row>
    <row r="10" spans="1:15" ht="11.25" customHeight="1" x14ac:dyDescent="0.25">
      <c r="A10" s="2418"/>
      <c r="B10" s="1882"/>
      <c r="C10" s="2326"/>
      <c r="D10" s="2419"/>
      <c r="E10" s="2419"/>
      <c r="F10" s="2419"/>
      <c r="G10" s="2419"/>
      <c r="H10" s="2419"/>
      <c r="I10" s="2419"/>
      <c r="J10" s="2420"/>
      <c r="K10" s="2417"/>
      <c r="L10" s="2421"/>
      <c r="M10" s="2413"/>
      <c r="N10" s="2413"/>
      <c r="O10" s="2041">
        <f t="shared" si="0"/>
        <v>0</v>
      </c>
    </row>
    <row r="11" spans="1:15" ht="11.25" customHeight="1" x14ac:dyDescent="0.25">
      <c r="A11" s="2418"/>
      <c r="B11" s="1882"/>
      <c r="C11" s="2326"/>
      <c r="D11" s="2419"/>
      <c r="E11" s="2419"/>
      <c r="F11" s="2419"/>
      <c r="G11" s="2419"/>
      <c r="H11" s="2419"/>
      <c r="I11" s="2419"/>
      <c r="J11" s="2420"/>
      <c r="K11" s="2417"/>
      <c r="L11" s="2421"/>
      <c r="M11" s="2413"/>
      <c r="N11" s="2413"/>
      <c r="O11" s="2042">
        <f t="shared" si="0"/>
        <v>0</v>
      </c>
    </row>
    <row r="12" spans="1:15" ht="11.25" customHeight="1" x14ac:dyDescent="0.25">
      <c r="A12" s="143" t="s">
        <v>176</v>
      </c>
      <c r="B12" s="1881"/>
      <c r="C12" s="1209"/>
      <c r="D12" s="1210"/>
      <c r="E12" s="1210"/>
      <c r="F12" s="1210"/>
      <c r="G12" s="1210"/>
      <c r="H12" s="1210"/>
      <c r="I12" s="1210"/>
      <c r="J12" s="1211"/>
      <c r="K12" s="598">
        <f>SUM(K5:K11)</f>
        <v>30039207.529300001</v>
      </c>
      <c r="L12" s="2038"/>
      <c r="M12" s="594">
        <f>SUM(M5:M11)</f>
        <v>0</v>
      </c>
      <c r="N12" s="594">
        <f>SUM(N5:N11)</f>
        <v>0</v>
      </c>
      <c r="O12" s="618">
        <f>SUM(O5:O11)</f>
        <v>31279807.997299999</v>
      </c>
    </row>
    <row r="13" spans="1:15" ht="11.25" customHeight="1" x14ac:dyDescent="0.25">
      <c r="A13" s="151"/>
      <c r="B13" s="1881"/>
      <c r="C13" s="60"/>
      <c r="D13" s="613"/>
      <c r="E13" s="613"/>
      <c r="F13" s="613"/>
      <c r="G13" s="613"/>
      <c r="H13" s="613"/>
      <c r="I13" s="613"/>
      <c r="J13" s="616"/>
      <c r="K13" s="593"/>
      <c r="L13" s="1854"/>
      <c r="M13" s="592"/>
      <c r="N13" s="592"/>
      <c r="O13" s="617"/>
    </row>
    <row r="14" spans="1:15" ht="11.25" customHeight="1" x14ac:dyDescent="0.25">
      <c r="A14" s="127" t="s">
        <v>637</v>
      </c>
      <c r="B14" s="1881"/>
      <c r="C14" s="60"/>
      <c r="D14" s="613"/>
      <c r="E14" s="613"/>
      <c r="F14" s="613"/>
      <c r="G14" s="613"/>
      <c r="H14" s="613"/>
      <c r="I14" s="613"/>
      <c r="J14" s="616"/>
      <c r="K14" s="593"/>
      <c r="L14" s="1854"/>
      <c r="M14" s="592"/>
      <c r="N14" s="592"/>
      <c r="O14" s="617"/>
    </row>
    <row r="15" spans="1:15" ht="11.25" customHeight="1" x14ac:dyDescent="0.25">
      <c r="A15" s="2418"/>
      <c r="B15" s="1882"/>
      <c r="C15" s="2326"/>
      <c r="D15" s="2419"/>
      <c r="E15" s="2419"/>
      <c r="F15" s="2419"/>
      <c r="G15" s="2419"/>
      <c r="H15" s="2419"/>
      <c r="I15" s="2419"/>
      <c r="J15" s="2420"/>
      <c r="K15" s="2417"/>
      <c r="L15" s="2421"/>
      <c r="M15" s="2413"/>
      <c r="N15" s="2413"/>
      <c r="O15" s="2041">
        <f>SUM(K15:N15)</f>
        <v>0</v>
      </c>
    </row>
    <row r="16" spans="1:15" ht="11.25" customHeight="1" x14ac:dyDescent="0.25">
      <c r="A16" s="2418"/>
      <c r="B16" s="1882"/>
      <c r="C16" s="2326"/>
      <c r="D16" s="2419"/>
      <c r="E16" s="2419"/>
      <c r="F16" s="2419"/>
      <c r="G16" s="2419"/>
      <c r="H16" s="2419"/>
      <c r="I16" s="2419"/>
      <c r="J16" s="2420"/>
      <c r="K16" s="2417"/>
      <c r="L16" s="2421"/>
      <c r="M16" s="2413"/>
      <c r="N16" s="2413"/>
      <c r="O16" s="2041">
        <f t="shared" ref="O16:O21" si="1">SUM(K16:N16)</f>
        <v>0</v>
      </c>
    </row>
    <row r="17" spans="1:17" ht="11.25" customHeight="1" x14ac:dyDescent="0.25">
      <c r="A17" s="2418"/>
      <c r="B17" s="1882"/>
      <c r="C17" s="2326"/>
      <c r="D17" s="2419"/>
      <c r="E17" s="2419"/>
      <c r="F17" s="2419"/>
      <c r="G17" s="2419"/>
      <c r="H17" s="2419"/>
      <c r="I17" s="2419"/>
      <c r="J17" s="2420"/>
      <c r="K17" s="2417"/>
      <c r="L17" s="2421"/>
      <c r="M17" s="2413"/>
      <c r="N17" s="2413"/>
      <c r="O17" s="2041">
        <f t="shared" si="1"/>
        <v>0</v>
      </c>
    </row>
    <row r="18" spans="1:17" ht="11.25" customHeight="1" x14ac:dyDescent="0.25">
      <c r="A18" s="2418"/>
      <c r="B18" s="1882"/>
      <c r="C18" s="2326"/>
      <c r="D18" s="2419"/>
      <c r="E18" s="2419"/>
      <c r="F18" s="2419"/>
      <c r="G18" s="2419"/>
      <c r="H18" s="2419"/>
      <c r="I18" s="2419"/>
      <c r="J18" s="2420"/>
      <c r="K18" s="2417"/>
      <c r="L18" s="2421"/>
      <c r="M18" s="2413"/>
      <c r="N18" s="2413"/>
      <c r="O18" s="2041">
        <f t="shared" si="1"/>
        <v>0</v>
      </c>
    </row>
    <row r="19" spans="1:17" ht="11.25" customHeight="1" x14ac:dyDescent="0.25">
      <c r="A19" s="2418"/>
      <c r="B19" s="1882"/>
      <c r="C19" s="2326"/>
      <c r="D19" s="2419"/>
      <c r="E19" s="2419"/>
      <c r="F19" s="2419"/>
      <c r="G19" s="2419"/>
      <c r="H19" s="2419"/>
      <c r="I19" s="2419"/>
      <c r="J19" s="2420"/>
      <c r="K19" s="2417"/>
      <c r="L19" s="2421"/>
      <c r="M19" s="2413"/>
      <c r="N19" s="2413"/>
      <c r="O19" s="2041">
        <f t="shared" si="1"/>
        <v>0</v>
      </c>
    </row>
    <row r="20" spans="1:17" ht="11.25" customHeight="1" x14ac:dyDescent="0.25">
      <c r="A20" s="2418"/>
      <c r="B20" s="1882"/>
      <c r="C20" s="2326"/>
      <c r="D20" s="2419"/>
      <c r="E20" s="2419"/>
      <c r="F20" s="2419"/>
      <c r="G20" s="2419"/>
      <c r="H20" s="2419"/>
      <c r="I20" s="2419"/>
      <c r="J20" s="2420"/>
      <c r="K20" s="2417"/>
      <c r="L20" s="2421"/>
      <c r="M20" s="2413"/>
      <c r="N20" s="2413"/>
      <c r="O20" s="2041">
        <f t="shared" si="1"/>
        <v>0</v>
      </c>
    </row>
    <row r="21" spans="1:17" ht="11.25" customHeight="1" x14ac:dyDescent="0.25">
      <c r="A21" s="2418"/>
      <c r="B21" s="1882"/>
      <c r="C21" s="2326"/>
      <c r="D21" s="2419"/>
      <c r="E21" s="2419"/>
      <c r="F21" s="2419"/>
      <c r="G21" s="2419"/>
      <c r="H21" s="2419"/>
      <c r="I21" s="2419"/>
      <c r="J21" s="2420"/>
      <c r="K21" s="2417"/>
      <c r="L21" s="2421"/>
      <c r="M21" s="2413"/>
      <c r="N21" s="2413"/>
      <c r="O21" s="2041">
        <f t="shared" si="1"/>
        <v>0</v>
      </c>
    </row>
    <row r="22" spans="1:17" ht="11.25" customHeight="1" x14ac:dyDescent="0.25">
      <c r="A22" s="143" t="s">
        <v>175</v>
      </c>
      <c r="B22" s="1881"/>
      <c r="C22" s="1209"/>
      <c r="D22" s="1210"/>
      <c r="E22" s="1210"/>
      <c r="F22" s="1210"/>
      <c r="G22" s="1210"/>
      <c r="H22" s="1210"/>
      <c r="I22" s="1210"/>
      <c r="J22" s="1211"/>
      <c r="K22" s="598">
        <f>SUM(K15:K21)</f>
        <v>0</v>
      </c>
      <c r="L22" s="2038"/>
      <c r="M22" s="594">
        <f>SUM(M15:M21)</f>
        <v>0</v>
      </c>
      <c r="N22" s="594">
        <f>SUM(N15:N21)</f>
        <v>0</v>
      </c>
      <c r="O22" s="618">
        <f>SUM(O15:O21)</f>
        <v>0</v>
      </c>
    </row>
    <row r="23" spans="1:17" ht="5.0999999999999996" customHeight="1" x14ac:dyDescent="0.25">
      <c r="A23" s="151"/>
      <c r="B23" s="1881"/>
      <c r="C23" s="60"/>
      <c r="D23" s="613"/>
      <c r="E23" s="613"/>
      <c r="F23" s="613"/>
      <c r="G23" s="613"/>
      <c r="H23" s="613"/>
      <c r="I23" s="613"/>
      <c r="J23" s="616"/>
      <c r="K23" s="628"/>
      <c r="L23" s="2039"/>
      <c r="M23" s="624"/>
      <c r="N23" s="624"/>
      <c r="O23" s="2018"/>
    </row>
    <row r="24" spans="1:17" x14ac:dyDescent="0.25">
      <c r="A24" s="274" t="s">
        <v>539</v>
      </c>
      <c r="B24" s="1883">
        <v>1</v>
      </c>
      <c r="C24" s="259"/>
      <c r="D24" s="619"/>
      <c r="E24" s="619"/>
      <c r="F24" s="619"/>
      <c r="G24" s="619"/>
      <c r="H24" s="619"/>
      <c r="I24" s="619"/>
      <c r="J24" s="620"/>
      <c r="K24" s="609">
        <f>K12+K22</f>
        <v>30039207.529300001</v>
      </c>
      <c r="L24" s="2040"/>
      <c r="M24" s="605">
        <f>M12+M22</f>
        <v>0</v>
      </c>
      <c r="N24" s="605">
        <f>N12+N22</f>
        <v>0</v>
      </c>
      <c r="O24" s="621">
        <f>O12+O22</f>
        <v>31279807.997299999</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4"/>
      <c r="C26" s="939"/>
      <c r="D26" s="939"/>
      <c r="E26" s="939"/>
      <c r="F26" s="939"/>
      <c r="G26" s="939"/>
      <c r="H26" s="939"/>
      <c r="I26" s="939"/>
      <c r="J26" s="939"/>
      <c r="O26" s="921"/>
      <c r="P26" s="921"/>
      <c r="Q26" s="921"/>
    </row>
    <row r="27" spans="1:17" s="586" customFormat="1" ht="11.25" customHeight="1" x14ac:dyDescent="0.25">
      <c r="A27" s="1052" t="s">
        <v>349</v>
      </c>
      <c r="B27" s="1884"/>
      <c r="C27" s="901"/>
      <c r="D27" s="900"/>
      <c r="E27" s="900"/>
      <c r="F27" s="900"/>
      <c r="G27" s="900"/>
      <c r="H27" s="900"/>
      <c r="I27" s="900"/>
      <c r="J27" s="901"/>
    </row>
    <row r="28" spans="1:17" s="586" customFormat="1" ht="11.25" customHeight="1" x14ac:dyDescent="0.25">
      <c r="A28" s="1052" t="s">
        <v>879</v>
      </c>
      <c r="B28" s="1884"/>
      <c r="C28" s="901"/>
      <c r="D28" s="900"/>
      <c r="E28" s="900"/>
      <c r="F28" s="900"/>
      <c r="G28" s="900"/>
      <c r="H28" s="900"/>
      <c r="I28" s="900"/>
      <c r="J28" s="901"/>
    </row>
    <row r="29" spans="1:17" ht="11.25" customHeight="1" x14ac:dyDescent="0.25">
      <c r="A29" s="1052" t="s">
        <v>2113</v>
      </c>
      <c r="B29" s="307"/>
      <c r="C29" s="187"/>
      <c r="D29" s="187"/>
      <c r="E29" s="187"/>
      <c r="F29" s="187"/>
      <c r="G29" s="187"/>
      <c r="H29" s="187"/>
      <c r="I29" s="187"/>
      <c r="J29" s="187"/>
    </row>
    <row r="30" spans="1:17" ht="11.25" customHeight="1" x14ac:dyDescent="0.25">
      <c r="A30" s="1052" t="s">
        <v>2182</v>
      </c>
      <c r="B30" s="307"/>
      <c r="C30" s="187"/>
      <c r="D30" s="187"/>
      <c r="E30" s="187"/>
      <c r="F30" s="187"/>
      <c r="G30" s="187"/>
      <c r="H30" s="187"/>
      <c r="I30" s="187"/>
      <c r="J30" s="187"/>
    </row>
    <row r="31" spans="1:17" ht="11.25" customHeight="1" x14ac:dyDescent="0.25">
      <c r="A31" s="314" t="s">
        <v>1455</v>
      </c>
    </row>
    <row r="32" spans="1:17" ht="11.25" customHeight="1" x14ac:dyDescent="0.25">
      <c r="M32" s="27" t="s">
        <v>2119</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64" activePane="bottomRight" state="frozen"/>
      <selection pane="topRight"/>
      <selection pane="bottomLeft"/>
      <selection pane="bottomRight" activeCell="F6" sqref="F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LIM471 Ephraim Mogale - Supporting Table SA17 Borrowing</v>
      </c>
      <c r="B1" s="25"/>
      <c r="C1" s="25"/>
      <c r="D1" s="25"/>
      <c r="E1" s="25"/>
      <c r="F1" s="25"/>
      <c r="G1" s="25"/>
      <c r="H1" s="25"/>
      <c r="I1" s="25"/>
      <c r="J1" s="25"/>
      <c r="K1" s="25"/>
    </row>
    <row r="2" spans="1:11" ht="28.5" customHeight="1" x14ac:dyDescent="0.25">
      <c r="A2" s="868" t="s">
        <v>782</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413"/>
      <c r="D5" s="2413"/>
      <c r="E5" s="2414"/>
      <c r="F5" s="2415"/>
      <c r="G5" s="2413"/>
      <c r="H5" s="2416"/>
      <c r="I5" s="2417"/>
      <c r="J5" s="2413"/>
      <c r="K5" s="2414"/>
    </row>
    <row r="6" spans="1:11" ht="12.75" customHeight="1" x14ac:dyDescent="0.25">
      <c r="A6" s="128" t="s">
        <v>277</v>
      </c>
      <c r="B6" s="60"/>
      <c r="C6" s="2413"/>
      <c r="D6" s="2413">
        <v>5015160</v>
      </c>
      <c r="E6" s="2414">
        <v>3589907</v>
      </c>
      <c r="F6" s="2415"/>
      <c r="G6" s="2413"/>
      <c r="H6" s="2416"/>
      <c r="I6" s="2417"/>
      <c r="J6" s="2413"/>
      <c r="K6" s="2414"/>
    </row>
    <row r="7" spans="1:11" ht="12.75" customHeight="1" x14ac:dyDescent="0.25">
      <c r="A7" s="128" t="s">
        <v>104</v>
      </c>
      <c r="B7" s="60"/>
      <c r="C7" s="2413"/>
      <c r="D7" s="2413"/>
      <c r="E7" s="2414"/>
      <c r="F7" s="2415"/>
      <c r="G7" s="2413"/>
      <c r="H7" s="2416"/>
      <c r="I7" s="2417"/>
      <c r="J7" s="2413"/>
      <c r="K7" s="2414"/>
    </row>
    <row r="8" spans="1:11" ht="12.75" customHeight="1" x14ac:dyDescent="0.25">
      <c r="A8" s="128" t="s">
        <v>532</v>
      </c>
      <c r="B8" s="60"/>
      <c r="C8" s="2413"/>
      <c r="D8" s="2413"/>
      <c r="E8" s="2414"/>
      <c r="F8" s="2415"/>
      <c r="G8" s="2413"/>
      <c r="H8" s="2416"/>
      <c r="I8" s="2417"/>
      <c r="J8" s="2413"/>
      <c r="K8" s="2414"/>
    </row>
    <row r="9" spans="1:11" ht="12.75" customHeight="1" x14ac:dyDescent="0.25">
      <c r="A9" s="128" t="s">
        <v>533</v>
      </c>
      <c r="B9" s="60"/>
      <c r="C9" s="2413"/>
      <c r="D9" s="2413"/>
      <c r="E9" s="2414"/>
      <c r="F9" s="2415"/>
      <c r="G9" s="2413"/>
      <c r="H9" s="2416"/>
      <c r="I9" s="2417"/>
      <c r="J9" s="2413"/>
      <c r="K9" s="2414"/>
    </row>
    <row r="10" spans="1:11" ht="12.75" customHeight="1" x14ac:dyDescent="0.25">
      <c r="A10" s="128" t="s">
        <v>737</v>
      </c>
      <c r="B10" s="60"/>
      <c r="C10" s="2413"/>
      <c r="D10" s="2413"/>
      <c r="E10" s="2414"/>
      <c r="F10" s="2415"/>
      <c r="G10" s="2413"/>
      <c r="H10" s="2416"/>
      <c r="I10" s="2417"/>
      <c r="J10" s="2413"/>
      <c r="K10" s="2414"/>
    </row>
    <row r="11" spans="1:11" ht="12.75" customHeight="1" x14ac:dyDescent="0.25">
      <c r="A11" s="128" t="s">
        <v>106</v>
      </c>
      <c r="B11" s="60"/>
      <c r="C11" s="2413"/>
      <c r="D11" s="2413"/>
      <c r="E11" s="2414"/>
      <c r="F11" s="2415"/>
      <c r="G11" s="2413"/>
      <c r="H11" s="2416"/>
      <c r="I11" s="2417"/>
      <c r="J11" s="2413"/>
      <c r="K11" s="2414"/>
    </row>
    <row r="12" spans="1:11" ht="12.75" customHeight="1" x14ac:dyDescent="0.25">
      <c r="A12" s="128" t="s">
        <v>107</v>
      </c>
      <c r="B12" s="60"/>
      <c r="C12" s="2413"/>
      <c r="D12" s="2413"/>
      <c r="E12" s="2414"/>
      <c r="F12" s="2415"/>
      <c r="G12" s="2413"/>
      <c r="H12" s="2416"/>
      <c r="I12" s="2417"/>
      <c r="J12" s="2413"/>
      <c r="K12" s="2414"/>
    </row>
    <row r="13" spans="1:11" ht="12.75" customHeight="1" x14ac:dyDescent="0.25">
      <c r="A13" s="128" t="s">
        <v>108</v>
      </c>
      <c r="B13" s="60"/>
      <c r="C13" s="2413"/>
      <c r="D13" s="2413"/>
      <c r="E13" s="2414"/>
      <c r="F13" s="2415"/>
      <c r="G13" s="2413"/>
      <c r="H13" s="2416"/>
      <c r="I13" s="2417"/>
      <c r="J13" s="2413"/>
      <c r="K13" s="2414"/>
    </row>
    <row r="14" spans="1:11" ht="12.75" customHeight="1" x14ac:dyDescent="0.25">
      <c r="A14" s="128" t="s">
        <v>109</v>
      </c>
      <c r="B14" s="60"/>
      <c r="C14" s="2413"/>
      <c r="D14" s="2413"/>
      <c r="E14" s="2414"/>
      <c r="F14" s="2415"/>
      <c r="G14" s="2413"/>
      <c r="H14" s="2416"/>
      <c r="I14" s="2417"/>
      <c r="J14" s="2413"/>
      <c r="K14" s="2414"/>
    </row>
    <row r="15" spans="1:11" ht="12.75" customHeight="1" x14ac:dyDescent="0.25">
      <c r="A15" s="128" t="s">
        <v>738</v>
      </c>
      <c r="B15" s="60"/>
      <c r="C15" s="2413"/>
      <c r="D15" s="2413"/>
      <c r="E15" s="2414"/>
      <c r="F15" s="2415"/>
      <c r="G15" s="2413"/>
      <c r="H15" s="2416"/>
      <c r="I15" s="2417"/>
      <c r="J15" s="2413"/>
      <c r="K15" s="2414"/>
    </row>
    <row r="16" spans="1:11" ht="12.75" customHeight="1" x14ac:dyDescent="0.25">
      <c r="A16" s="128" t="s">
        <v>110</v>
      </c>
      <c r="B16" s="60"/>
      <c r="C16" s="2413"/>
      <c r="D16" s="2413"/>
      <c r="E16" s="2414"/>
      <c r="F16" s="2415"/>
      <c r="G16" s="2413"/>
      <c r="H16" s="2416"/>
      <c r="I16" s="2417"/>
      <c r="J16" s="2413"/>
      <c r="K16" s="2414"/>
    </row>
    <row r="17" spans="1:11" ht="12.75" customHeight="1" x14ac:dyDescent="0.25">
      <c r="A17" s="143" t="s">
        <v>176</v>
      </c>
      <c r="B17" s="60">
        <v>1</v>
      </c>
      <c r="C17" s="594">
        <f>SUM(C5:C16)</f>
        <v>0</v>
      </c>
      <c r="D17" s="594">
        <f t="shared" ref="D17:K17" si="0">SUM(D5:D16)</f>
        <v>5015160</v>
      </c>
      <c r="E17" s="595">
        <f t="shared" si="0"/>
        <v>3589907</v>
      </c>
      <c r="F17" s="596">
        <f t="shared" si="0"/>
        <v>0</v>
      </c>
      <c r="G17" s="594">
        <f t="shared" si="0"/>
        <v>0</v>
      </c>
      <c r="H17" s="597">
        <f t="shared" si="0"/>
        <v>0</v>
      </c>
      <c r="I17" s="598">
        <f t="shared" si="0"/>
        <v>0</v>
      </c>
      <c r="J17" s="594">
        <f t="shared" si="0"/>
        <v>0</v>
      </c>
      <c r="K17" s="595">
        <f t="shared" si="0"/>
        <v>0</v>
      </c>
    </row>
    <row r="18" spans="1:11" ht="12.75" customHeight="1" x14ac:dyDescent="0.25">
      <c r="A18" s="143"/>
      <c r="B18" s="60"/>
      <c r="C18" s="624"/>
      <c r="D18" s="624"/>
      <c r="E18" s="625"/>
      <c r="F18" s="626"/>
      <c r="G18" s="624"/>
      <c r="H18" s="627"/>
      <c r="I18" s="628"/>
      <c r="J18" s="624"/>
      <c r="K18" s="625"/>
    </row>
    <row r="19" spans="1:11" ht="12.75" customHeight="1" x14ac:dyDescent="0.25">
      <c r="A19" s="127" t="s">
        <v>637</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413"/>
      <c r="D20" s="2413"/>
      <c r="E20" s="2414"/>
      <c r="F20" s="2415"/>
      <c r="G20" s="2413"/>
      <c r="H20" s="2416"/>
      <c r="I20" s="2417"/>
      <c r="J20" s="2413"/>
      <c r="K20" s="2414"/>
    </row>
    <row r="21" spans="1:11" ht="12.75" customHeight="1" x14ac:dyDescent="0.25">
      <c r="A21" s="128" t="str">
        <f t="shared" si="1"/>
        <v>Long-Term Loans (non-annuity)</v>
      </c>
      <c r="B21" s="60"/>
      <c r="C21" s="2413"/>
      <c r="D21" s="2413"/>
      <c r="E21" s="2414"/>
      <c r="F21" s="2415"/>
      <c r="G21" s="2413"/>
      <c r="H21" s="2416"/>
      <c r="I21" s="2417"/>
      <c r="J21" s="2413"/>
      <c r="K21" s="2414"/>
    </row>
    <row r="22" spans="1:11" ht="12.75" customHeight="1" x14ac:dyDescent="0.25">
      <c r="A22" s="128" t="str">
        <f t="shared" si="1"/>
        <v>Local registered stock</v>
      </c>
      <c r="B22" s="60"/>
      <c r="C22" s="2413"/>
      <c r="D22" s="2413"/>
      <c r="E22" s="2414"/>
      <c r="F22" s="2415"/>
      <c r="G22" s="2413"/>
      <c r="H22" s="2416"/>
      <c r="I22" s="2417"/>
      <c r="J22" s="2413"/>
      <c r="K22" s="2414"/>
    </row>
    <row r="23" spans="1:11" ht="12.75" customHeight="1" x14ac:dyDescent="0.25">
      <c r="A23" s="128" t="str">
        <f t="shared" si="1"/>
        <v>Instalment Credit</v>
      </c>
      <c r="B23" s="60"/>
      <c r="C23" s="2413"/>
      <c r="D23" s="2413"/>
      <c r="E23" s="2414"/>
      <c r="F23" s="2415"/>
      <c r="G23" s="2413"/>
      <c r="H23" s="2416"/>
      <c r="I23" s="2417"/>
      <c r="J23" s="2413"/>
      <c r="K23" s="2414"/>
    </row>
    <row r="24" spans="1:11" ht="12.75" customHeight="1" x14ac:dyDescent="0.25">
      <c r="A24" s="128" t="str">
        <f t="shared" si="1"/>
        <v>Financial Leases</v>
      </c>
      <c r="B24" s="60"/>
      <c r="C24" s="2413"/>
      <c r="D24" s="2413"/>
      <c r="E24" s="2414"/>
      <c r="F24" s="2415"/>
      <c r="G24" s="2413"/>
      <c r="H24" s="2416"/>
      <c r="I24" s="2417"/>
      <c r="J24" s="2413"/>
      <c r="K24" s="2414"/>
    </row>
    <row r="25" spans="1:11" ht="12.75" customHeight="1" x14ac:dyDescent="0.25">
      <c r="A25" s="128" t="str">
        <f t="shared" si="1"/>
        <v>PPP liabilities</v>
      </c>
      <c r="B25" s="60"/>
      <c r="C25" s="2413"/>
      <c r="D25" s="2413"/>
      <c r="E25" s="2414"/>
      <c r="F25" s="2415"/>
      <c r="G25" s="2413"/>
      <c r="H25" s="2416"/>
      <c r="I25" s="2417"/>
      <c r="J25" s="2413"/>
      <c r="K25" s="2414"/>
    </row>
    <row r="26" spans="1:11" ht="12.75" customHeight="1" x14ac:dyDescent="0.25">
      <c r="A26" s="128" t="str">
        <f t="shared" si="1"/>
        <v>Finance Granted By Cap Equipment Supplier</v>
      </c>
      <c r="B26" s="60"/>
      <c r="C26" s="2413"/>
      <c r="D26" s="2413"/>
      <c r="E26" s="2414"/>
      <c r="F26" s="2415"/>
      <c r="G26" s="2413"/>
      <c r="H26" s="2416"/>
      <c r="I26" s="2417"/>
      <c r="J26" s="2413"/>
      <c r="K26" s="2414"/>
    </row>
    <row r="27" spans="1:11" ht="12.75" customHeight="1" x14ac:dyDescent="0.25">
      <c r="A27" s="128" t="str">
        <f t="shared" si="1"/>
        <v>Marketable Bonds</v>
      </c>
      <c r="B27" s="60"/>
      <c r="C27" s="2413"/>
      <c r="D27" s="2413"/>
      <c r="E27" s="2414"/>
      <c r="F27" s="2415"/>
      <c r="G27" s="2413"/>
      <c r="H27" s="2416"/>
      <c r="I27" s="2417"/>
      <c r="J27" s="2413"/>
      <c r="K27" s="2414"/>
    </row>
    <row r="28" spans="1:11" ht="12.75" customHeight="1" x14ac:dyDescent="0.25">
      <c r="A28" s="128" t="str">
        <f t="shared" si="1"/>
        <v>Non-Marketable Bonds</v>
      </c>
      <c r="B28" s="60"/>
      <c r="C28" s="2413"/>
      <c r="D28" s="2413"/>
      <c r="E28" s="2414"/>
      <c r="F28" s="2415"/>
      <c r="G28" s="2413"/>
      <c r="H28" s="2416"/>
      <c r="I28" s="2417"/>
      <c r="J28" s="2413"/>
      <c r="K28" s="2414"/>
    </row>
    <row r="29" spans="1:11" ht="12.75" customHeight="1" x14ac:dyDescent="0.25">
      <c r="A29" s="128" t="str">
        <f t="shared" si="1"/>
        <v>Bankers Acceptances</v>
      </c>
      <c r="B29" s="60"/>
      <c r="C29" s="2413"/>
      <c r="D29" s="2413"/>
      <c r="E29" s="2414"/>
      <c r="F29" s="2415"/>
      <c r="G29" s="2413"/>
      <c r="H29" s="2416"/>
      <c r="I29" s="2417"/>
      <c r="J29" s="2413"/>
      <c r="K29" s="2414"/>
    </row>
    <row r="30" spans="1:11" ht="12.75" customHeight="1" x14ac:dyDescent="0.25">
      <c r="A30" s="128" t="str">
        <f t="shared" si="1"/>
        <v>Financial derivatives</v>
      </c>
      <c r="B30" s="60"/>
      <c r="C30" s="2413"/>
      <c r="D30" s="2413"/>
      <c r="E30" s="2414"/>
      <c r="F30" s="2415"/>
      <c r="G30" s="2413"/>
      <c r="H30" s="2416"/>
      <c r="I30" s="2417"/>
      <c r="J30" s="2413"/>
      <c r="K30" s="2414"/>
    </row>
    <row r="31" spans="1:11" ht="12.75" customHeight="1" x14ac:dyDescent="0.25">
      <c r="A31" s="128" t="str">
        <f t="shared" si="1"/>
        <v>Other Securities</v>
      </c>
      <c r="B31" s="60"/>
      <c r="C31" s="2413"/>
      <c r="D31" s="2413"/>
      <c r="E31" s="2414"/>
      <c r="F31" s="2415"/>
      <c r="G31" s="2413"/>
      <c r="H31" s="2416"/>
      <c r="I31" s="2417"/>
      <c r="J31" s="2413"/>
      <c r="K31" s="2414"/>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1311</v>
      </c>
      <c r="B34" s="103">
        <v>1</v>
      </c>
      <c r="C34" s="605">
        <f>C17+C32</f>
        <v>0</v>
      </c>
      <c r="D34" s="605">
        <f t="shared" ref="D34:K34" si="3">D17+D32</f>
        <v>5015160</v>
      </c>
      <c r="E34" s="606">
        <f t="shared" si="3"/>
        <v>3589907</v>
      </c>
      <c r="F34" s="607">
        <f t="shared" si="3"/>
        <v>0</v>
      </c>
      <c r="G34" s="605">
        <f t="shared" si="3"/>
        <v>0</v>
      </c>
      <c r="H34" s="608">
        <f t="shared" si="3"/>
        <v>0</v>
      </c>
      <c r="I34" s="609">
        <f t="shared" si="3"/>
        <v>0</v>
      </c>
      <c r="J34" s="605">
        <f t="shared" si="3"/>
        <v>0</v>
      </c>
      <c r="K34" s="606">
        <f t="shared" si="3"/>
        <v>0</v>
      </c>
    </row>
    <row r="35" spans="1:45" ht="12.75" customHeight="1" x14ac:dyDescent="0.25">
      <c r="A35" s="1411"/>
      <c r="B35" s="529"/>
      <c r="C35" s="627"/>
      <c r="D35" s="627"/>
      <c r="E35" s="627"/>
      <c r="F35" s="627"/>
      <c r="G35" s="627"/>
      <c r="H35" s="627"/>
      <c r="I35" s="627"/>
      <c r="J35" s="627"/>
      <c r="K35" s="627"/>
    </row>
    <row r="36" spans="1:45" ht="18.75" customHeight="1" x14ac:dyDescent="0.25">
      <c r="A36" s="868" t="s">
        <v>2096</v>
      </c>
      <c r="B36" s="296"/>
      <c r="C36" s="509"/>
      <c r="D36" s="509"/>
      <c r="E36" s="800"/>
      <c r="F36" s="1603"/>
      <c r="G36" s="296"/>
      <c r="H36" s="869"/>
      <c r="I36" s="1857"/>
      <c r="J36" s="1855"/>
      <c r="K36" s="1856"/>
      <c r="L36" s="124"/>
      <c r="M36" s="124"/>
      <c r="N36" s="124"/>
    </row>
    <row r="37" spans="1:45" ht="12.75" customHeight="1" x14ac:dyDescent="0.25">
      <c r="A37" s="127" t="s">
        <v>177</v>
      </c>
      <c r="B37" s="60"/>
      <c r="C37" s="592"/>
      <c r="D37" s="592"/>
      <c r="E37" s="623"/>
      <c r="F37" s="593"/>
      <c r="G37" s="592"/>
      <c r="H37" s="617"/>
      <c r="I37" s="1854"/>
      <c r="J37" s="592"/>
      <c r="K37" s="617"/>
    </row>
    <row r="38" spans="1:45" ht="11.25" customHeight="1" x14ac:dyDescent="0.25">
      <c r="A38" s="128" t="s">
        <v>103</v>
      </c>
      <c r="B38" s="60"/>
      <c r="C38" s="2413"/>
      <c r="D38" s="2413"/>
      <c r="E38" s="2414"/>
      <c r="F38" s="2415"/>
      <c r="G38" s="2413"/>
      <c r="H38" s="2416"/>
      <c r="I38" s="2417"/>
      <c r="J38" s="2413"/>
      <c r="K38" s="2414"/>
      <c r="L38" s="247"/>
    </row>
    <row r="39" spans="1:45" ht="11.25" customHeight="1" x14ac:dyDescent="0.25">
      <c r="A39" s="128" t="s">
        <v>277</v>
      </c>
      <c r="B39" s="60"/>
      <c r="C39" s="2413"/>
      <c r="D39" s="2413"/>
      <c r="E39" s="2413"/>
      <c r="F39" s="2415"/>
      <c r="G39" s="2413"/>
      <c r="H39" s="2416"/>
      <c r="I39" s="2417"/>
      <c r="J39" s="2413"/>
      <c r="K39" s="2414"/>
    </row>
    <row r="40" spans="1:45" ht="11.25" customHeight="1" x14ac:dyDescent="0.25">
      <c r="A40" s="128" t="s">
        <v>104</v>
      </c>
      <c r="B40" s="60"/>
      <c r="C40" s="2413"/>
      <c r="D40" s="2413"/>
      <c r="E40" s="2414"/>
      <c r="F40" s="2415"/>
      <c r="G40" s="2413"/>
      <c r="H40" s="2416"/>
      <c r="I40" s="2417"/>
      <c r="J40" s="2413"/>
      <c r="K40" s="2414"/>
    </row>
    <row r="41" spans="1:45" ht="11.25" customHeight="1" x14ac:dyDescent="0.25">
      <c r="A41" s="128" t="s">
        <v>532</v>
      </c>
      <c r="B41" s="60"/>
      <c r="C41" s="2413"/>
      <c r="D41" s="2413"/>
      <c r="E41" s="2414"/>
      <c r="F41" s="2415"/>
      <c r="G41" s="2413"/>
      <c r="H41" s="2416"/>
      <c r="I41" s="2417"/>
      <c r="J41" s="2413"/>
      <c r="K41" s="2414"/>
      <c r="AQ41" s="27">
        <v>439005000</v>
      </c>
      <c r="AS41" s="27">
        <v>539442200</v>
      </c>
    </row>
    <row r="42" spans="1:45" ht="11.25" customHeight="1" x14ac:dyDescent="0.25">
      <c r="A42" s="128" t="s">
        <v>533</v>
      </c>
      <c r="B42" s="60"/>
      <c r="C42" s="2413"/>
      <c r="D42" s="2413"/>
      <c r="E42" s="2414"/>
      <c r="F42" s="2415"/>
      <c r="G42" s="2413"/>
      <c r="H42" s="2416"/>
      <c r="I42" s="2417"/>
      <c r="J42" s="2413"/>
      <c r="K42" s="2414"/>
    </row>
    <row r="43" spans="1:45" ht="11.25" customHeight="1" x14ac:dyDescent="0.25">
      <c r="A43" s="128" t="s">
        <v>737</v>
      </c>
      <c r="B43" s="60"/>
      <c r="C43" s="2413"/>
      <c r="D43" s="2413"/>
      <c r="E43" s="2414"/>
      <c r="F43" s="2415"/>
      <c r="G43" s="2413"/>
      <c r="H43" s="2416"/>
      <c r="I43" s="2417"/>
      <c r="J43" s="2413"/>
      <c r="K43" s="2414"/>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413"/>
      <c r="D44" s="2413"/>
      <c r="E44" s="2414"/>
      <c r="F44" s="2415"/>
      <c r="G44" s="2413"/>
      <c r="H44" s="2416"/>
      <c r="I44" s="2417"/>
      <c r="J44" s="2413"/>
      <c r="K44" s="2414"/>
      <c r="AQ44" s="27">
        <v>839041298</v>
      </c>
      <c r="AS44" s="27">
        <v>440387617</v>
      </c>
    </row>
    <row r="45" spans="1:45" ht="11.25" customHeight="1" x14ac:dyDescent="0.25">
      <c r="A45" s="128" t="s">
        <v>107</v>
      </c>
      <c r="B45" s="60"/>
      <c r="C45" s="2413"/>
      <c r="D45" s="2413"/>
      <c r="E45" s="2414"/>
      <c r="F45" s="2415"/>
      <c r="G45" s="2413"/>
      <c r="H45" s="2416"/>
      <c r="I45" s="2417"/>
      <c r="J45" s="2413"/>
      <c r="K45" s="2414"/>
      <c r="AQ45" s="27">
        <v>976543638</v>
      </c>
      <c r="AS45" s="27">
        <v>782372961</v>
      </c>
    </row>
    <row r="46" spans="1:45" ht="11.25" customHeight="1" x14ac:dyDescent="0.25">
      <c r="A46" s="128" t="s">
        <v>108</v>
      </c>
      <c r="B46" s="60"/>
      <c r="C46" s="2413"/>
      <c r="D46" s="2413"/>
      <c r="E46" s="2414"/>
      <c r="F46" s="2415"/>
      <c r="G46" s="2413"/>
      <c r="H46" s="2416"/>
      <c r="I46" s="2417"/>
      <c r="J46" s="2413"/>
      <c r="K46" s="2414"/>
      <c r="AQ46" s="27">
        <v>19116417</v>
      </c>
      <c r="AS46" s="27">
        <v>19116417</v>
      </c>
    </row>
    <row r="47" spans="1:45" ht="11.25" customHeight="1" x14ac:dyDescent="0.25">
      <c r="A47" s="128" t="s">
        <v>109</v>
      </c>
      <c r="B47" s="60"/>
      <c r="C47" s="2413"/>
      <c r="D47" s="2413"/>
      <c r="E47" s="2414"/>
      <c r="F47" s="2415"/>
      <c r="G47" s="2413"/>
      <c r="H47" s="2416"/>
      <c r="I47" s="2417"/>
      <c r="J47" s="2413"/>
      <c r="K47" s="2414"/>
      <c r="AQ47" s="27">
        <v>2273706353</v>
      </c>
      <c r="AS47" s="27">
        <v>1781319195</v>
      </c>
    </row>
    <row r="48" spans="1:45" ht="11.25" customHeight="1" x14ac:dyDescent="0.25">
      <c r="A48" s="128" t="s">
        <v>738</v>
      </c>
      <c r="B48" s="60"/>
      <c r="C48" s="2413"/>
      <c r="D48" s="2413"/>
      <c r="E48" s="2414"/>
      <c r="F48" s="2415"/>
      <c r="G48" s="2413"/>
      <c r="H48" s="2416"/>
      <c r="I48" s="2417"/>
      <c r="J48" s="2413"/>
      <c r="K48" s="2414"/>
      <c r="AQ48" s="27">
        <v>180259232</v>
      </c>
      <c r="AS48" s="27">
        <v>140396729</v>
      </c>
    </row>
    <row r="49" spans="1:45" ht="11.25" customHeight="1" x14ac:dyDescent="0.25">
      <c r="A49" s="128" t="s">
        <v>110</v>
      </c>
      <c r="B49" s="60"/>
      <c r="C49" s="2413"/>
      <c r="D49" s="2413"/>
      <c r="E49" s="2414"/>
      <c r="F49" s="2415"/>
      <c r="G49" s="2413"/>
      <c r="H49" s="2416"/>
      <c r="I49" s="2417"/>
      <c r="J49" s="2413"/>
      <c r="K49" s="2414"/>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637</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413"/>
      <c r="D53" s="2413"/>
      <c r="E53" s="2414"/>
      <c r="F53" s="2415"/>
      <c r="G53" s="2413"/>
      <c r="H53" s="2416"/>
      <c r="I53" s="2417"/>
      <c r="J53" s="2413"/>
      <c r="K53" s="2414"/>
    </row>
    <row r="54" spans="1:45" ht="11.25" customHeight="1" x14ac:dyDescent="0.25">
      <c r="A54" s="128" t="str">
        <f t="shared" si="5"/>
        <v>Long-Term Loans (non-annuity)</v>
      </c>
      <c r="B54" s="60"/>
      <c r="C54" s="2413"/>
      <c r="D54" s="2413"/>
      <c r="E54" s="2414"/>
      <c r="F54" s="2415"/>
      <c r="G54" s="2413"/>
      <c r="H54" s="2416"/>
      <c r="I54" s="2417"/>
      <c r="J54" s="2413"/>
      <c r="K54" s="2414"/>
    </row>
    <row r="55" spans="1:45" ht="11.25" customHeight="1" x14ac:dyDescent="0.25">
      <c r="A55" s="128" t="str">
        <f t="shared" si="5"/>
        <v>Local registered stock</v>
      </c>
      <c r="B55" s="60"/>
      <c r="C55" s="2413"/>
      <c r="D55" s="2413"/>
      <c r="E55" s="2414"/>
      <c r="F55" s="2415"/>
      <c r="G55" s="2413"/>
      <c r="H55" s="2416"/>
      <c r="I55" s="2417"/>
      <c r="J55" s="2413"/>
      <c r="K55" s="2414"/>
    </row>
    <row r="56" spans="1:45" ht="11.25" customHeight="1" x14ac:dyDescent="0.25">
      <c r="A56" s="128" t="str">
        <f t="shared" si="5"/>
        <v>Instalment Credit</v>
      </c>
      <c r="B56" s="60"/>
      <c r="C56" s="2413"/>
      <c r="D56" s="2413"/>
      <c r="E56" s="2414"/>
      <c r="F56" s="2415"/>
      <c r="G56" s="2413"/>
      <c r="H56" s="2416"/>
      <c r="I56" s="2417"/>
      <c r="J56" s="2413"/>
      <c r="K56" s="2414"/>
    </row>
    <row r="57" spans="1:45" ht="11.25" customHeight="1" x14ac:dyDescent="0.25">
      <c r="A57" s="128" t="str">
        <f t="shared" si="5"/>
        <v>Financial Leases</v>
      </c>
      <c r="B57" s="60"/>
      <c r="C57" s="2413"/>
      <c r="D57" s="2413"/>
      <c r="E57" s="2414"/>
      <c r="F57" s="2415"/>
      <c r="G57" s="2413"/>
      <c r="H57" s="2416"/>
      <c r="I57" s="2417"/>
      <c r="J57" s="2413"/>
      <c r="K57" s="2414"/>
    </row>
    <row r="58" spans="1:45" ht="11.25" customHeight="1" x14ac:dyDescent="0.25">
      <c r="A58" s="128" t="str">
        <f t="shared" si="5"/>
        <v>PPP liabilities</v>
      </c>
      <c r="B58" s="60"/>
      <c r="C58" s="2413"/>
      <c r="D58" s="2413"/>
      <c r="E58" s="2414"/>
      <c r="F58" s="2415"/>
      <c r="G58" s="2413"/>
      <c r="H58" s="2416"/>
      <c r="I58" s="2417"/>
      <c r="J58" s="2413"/>
      <c r="K58" s="2414"/>
    </row>
    <row r="59" spans="1:45" ht="11.25" customHeight="1" x14ac:dyDescent="0.25">
      <c r="A59" s="128" t="str">
        <f t="shared" si="5"/>
        <v>Finance Granted By Cap Equipment Supplier</v>
      </c>
      <c r="B59" s="60"/>
      <c r="C59" s="2413"/>
      <c r="D59" s="2413"/>
      <c r="E59" s="2414"/>
      <c r="F59" s="2415"/>
      <c r="G59" s="2413"/>
      <c r="H59" s="2416"/>
      <c r="I59" s="2417"/>
      <c r="J59" s="2413"/>
      <c r="K59" s="2414"/>
    </row>
    <row r="60" spans="1:45" ht="11.25" customHeight="1" x14ac:dyDescent="0.25">
      <c r="A60" s="128" t="str">
        <f t="shared" si="5"/>
        <v>Marketable Bonds</v>
      </c>
      <c r="B60" s="60"/>
      <c r="C60" s="2413"/>
      <c r="D60" s="2413"/>
      <c r="E60" s="2414"/>
      <c r="F60" s="2415"/>
      <c r="G60" s="2413"/>
      <c r="H60" s="2416"/>
      <c r="I60" s="2417"/>
      <c r="J60" s="2413"/>
      <c r="K60" s="2414"/>
    </row>
    <row r="61" spans="1:45" ht="11.25" customHeight="1" x14ac:dyDescent="0.25">
      <c r="A61" s="128" t="str">
        <f t="shared" si="5"/>
        <v>Non-Marketable Bonds</v>
      </c>
      <c r="B61" s="60"/>
      <c r="C61" s="2413"/>
      <c r="D61" s="2413"/>
      <c r="E61" s="2414"/>
      <c r="F61" s="2415"/>
      <c r="G61" s="2413"/>
      <c r="H61" s="2416"/>
      <c r="I61" s="2417"/>
      <c r="J61" s="2413"/>
      <c r="K61" s="2414"/>
    </row>
    <row r="62" spans="1:45" ht="11.25" customHeight="1" x14ac:dyDescent="0.25">
      <c r="A62" s="128" t="str">
        <f t="shared" si="5"/>
        <v>Bankers Acceptances</v>
      </c>
      <c r="B62" s="60"/>
      <c r="C62" s="2413"/>
      <c r="D62" s="2413"/>
      <c r="E62" s="2414"/>
      <c r="F62" s="2415"/>
      <c r="G62" s="2413"/>
      <c r="H62" s="2416"/>
      <c r="I62" s="2417"/>
      <c r="J62" s="2413"/>
      <c r="K62" s="2414"/>
    </row>
    <row r="63" spans="1:45" ht="11.25" customHeight="1" x14ac:dyDescent="0.25">
      <c r="A63" s="128" t="str">
        <f t="shared" si="5"/>
        <v>Financial derivatives</v>
      </c>
      <c r="B63" s="60"/>
      <c r="C63" s="2413"/>
      <c r="D63" s="2413"/>
      <c r="E63" s="2414"/>
      <c r="F63" s="2415"/>
      <c r="G63" s="2413"/>
      <c r="H63" s="2416"/>
      <c r="I63" s="2417"/>
      <c r="J63" s="2413"/>
      <c r="K63" s="2414"/>
    </row>
    <row r="64" spans="1:45" ht="11.25" customHeight="1" x14ac:dyDescent="0.25">
      <c r="A64" s="128" t="str">
        <f t="shared" si="5"/>
        <v>Other Securities</v>
      </c>
      <c r="B64" s="60"/>
      <c r="C64" s="2413"/>
      <c r="D64" s="2413"/>
      <c r="E64" s="2414"/>
      <c r="F64" s="2415"/>
      <c r="G64" s="2413"/>
      <c r="H64" s="2416"/>
      <c r="I64" s="2417"/>
      <c r="J64" s="2413"/>
      <c r="K64" s="2414"/>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2097</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1227</v>
      </c>
      <c r="B70" s="114"/>
      <c r="C70" s="119"/>
      <c r="D70" s="118"/>
      <c r="E70" s="119"/>
      <c r="F70" s="119"/>
      <c r="G70" s="119"/>
      <c r="H70" s="119"/>
      <c r="I70" s="119"/>
      <c r="J70" s="119"/>
      <c r="K70" s="119"/>
    </row>
    <row r="71" spans="1:11" ht="11.25" customHeight="1" x14ac:dyDescent="0.25">
      <c r="A71" s="166" t="s">
        <v>531</v>
      </c>
      <c r="B71" s="114"/>
      <c r="C71" s="315">
        <f>C34-'A6-FinPos'!C37</f>
        <v>0</v>
      </c>
      <c r="D71" s="315">
        <f>D34-'A6-FinPos'!D37</f>
        <v>0</v>
      </c>
      <c r="E71" s="315">
        <f>E34-'A6-FinPos'!E37</f>
        <v>0</v>
      </c>
      <c r="F71" s="315">
        <f>F34-'A6-FinPos'!F37</f>
        <v>0</v>
      </c>
      <c r="G71" s="315">
        <f>G34-'A6-FinPos'!G37</f>
        <v>0</v>
      </c>
      <c r="H71" s="315">
        <f>H34-'A6-FinPos'!H37</f>
        <v>0</v>
      </c>
      <c r="I71" s="315">
        <f>I34-'A6-FinPos'!J37</f>
        <v>0</v>
      </c>
      <c r="J71" s="315">
        <f>J34-'A6-FinPos'!K37</f>
        <v>0</v>
      </c>
      <c r="K71" s="315">
        <f>K34-'A6-FinPos'!L37</f>
        <v>0</v>
      </c>
    </row>
    <row r="72" spans="1:11" ht="11.25" customHeight="1" x14ac:dyDescent="0.25">
      <c r="F72" s="188"/>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tabSelected="1" zoomScaleNormal="100" workbookViewId="0">
      <pane xSplit="2" ySplit="3" topLeftCell="C12" activePane="bottomRight" state="frozen"/>
      <selection pane="topRight"/>
      <selection pane="bottomLeft"/>
      <selection pane="bottomRight" sqref="A1:K4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LIM471 Ephraim Mogale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2" ht="11.25" customHeight="1" x14ac:dyDescent="0.25">
      <c r="A4" s="143" t="s">
        <v>1228</v>
      </c>
      <c r="B4" s="622" t="s">
        <v>1463</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977</v>
      </c>
      <c r="B7" s="60"/>
      <c r="C7" s="624">
        <f>SUM(C8:C14)</f>
        <v>72029000</v>
      </c>
      <c r="D7" s="624">
        <f t="shared" ref="D7:K7" si="0">SUM(D8:D14)</f>
        <v>81274672.620000005</v>
      </c>
      <c r="E7" s="625">
        <f t="shared" si="0"/>
        <v>94712291</v>
      </c>
      <c r="F7" s="626">
        <f t="shared" si="0"/>
        <v>122308000</v>
      </c>
      <c r="G7" s="624">
        <f t="shared" si="0"/>
        <v>122308000</v>
      </c>
      <c r="H7" s="627">
        <f t="shared" si="0"/>
        <v>122308000</v>
      </c>
      <c r="I7" s="628">
        <f t="shared" si="0"/>
        <v>121374000</v>
      </c>
      <c r="J7" s="624">
        <f t="shared" si="0"/>
        <v>129936000</v>
      </c>
      <c r="K7" s="625">
        <f t="shared" si="0"/>
        <v>137610000</v>
      </c>
    </row>
    <row r="8" spans="1:12" ht="11.25" customHeight="1" x14ac:dyDescent="0.25">
      <c r="A8" s="1129" t="s">
        <v>1835</v>
      </c>
      <c r="B8" s="60" t="str">
        <f t="shared" ref="B8:B13" si="1">IF(A8="  Levy replacement",3,"")</f>
        <v/>
      </c>
      <c r="C8" s="2423"/>
      <c r="D8" s="2423"/>
      <c r="E8" s="2424"/>
      <c r="F8" s="2425"/>
      <c r="G8" s="2423"/>
      <c r="H8" s="2426"/>
      <c r="I8" s="2427"/>
      <c r="J8" s="2423"/>
      <c r="K8" s="2424"/>
    </row>
    <row r="9" spans="1:12" ht="11.25" customHeight="1" x14ac:dyDescent="0.25">
      <c r="A9" s="2422" t="s">
        <v>1835</v>
      </c>
      <c r="B9" s="60" t="str">
        <f t="shared" si="1"/>
        <v/>
      </c>
      <c r="C9" s="2417">
        <v>68729000</v>
      </c>
      <c r="D9" s="2414">
        <v>77149000</v>
      </c>
      <c r="E9" s="2414">
        <v>91614000</v>
      </c>
      <c r="F9" s="2415">
        <v>118546000</v>
      </c>
      <c r="G9" s="2415">
        <v>118546000</v>
      </c>
      <c r="H9" s="2415">
        <v>118546000</v>
      </c>
      <c r="I9" s="2417">
        <v>117556000</v>
      </c>
      <c r="J9" s="2413">
        <v>127003000</v>
      </c>
      <c r="K9" s="2414">
        <v>135210000</v>
      </c>
    </row>
    <row r="10" spans="1:12" ht="11.25" customHeight="1" x14ac:dyDescent="0.25">
      <c r="A10" s="2422" t="s">
        <v>1813</v>
      </c>
      <c r="B10" s="60" t="str">
        <f t="shared" si="1"/>
        <v/>
      </c>
      <c r="C10" s="2417"/>
      <c r="D10" s="2414">
        <v>1393159</v>
      </c>
      <c r="E10" s="2414"/>
      <c r="F10" s="2415"/>
      <c r="G10" s="2413"/>
      <c r="H10" s="2416"/>
      <c r="I10" s="2417"/>
      <c r="J10" s="2413"/>
      <c r="K10" s="2414"/>
    </row>
    <row r="11" spans="1:12" ht="11.25" customHeight="1" x14ac:dyDescent="0.25">
      <c r="A11" s="2422" t="s">
        <v>1833</v>
      </c>
      <c r="B11" s="60" t="str">
        <f t="shared" si="1"/>
        <v/>
      </c>
      <c r="C11" s="2417">
        <v>1500000</v>
      </c>
      <c r="D11" s="2414">
        <v>1327693.6200000001</v>
      </c>
      <c r="E11" s="2414">
        <v>1635885</v>
      </c>
      <c r="F11" s="2415">
        <v>1675000</v>
      </c>
      <c r="G11" s="2415">
        <v>1675000</v>
      </c>
      <c r="H11" s="2415">
        <v>1675000</v>
      </c>
      <c r="I11" s="2417">
        <v>1810000</v>
      </c>
      <c r="J11" s="2413">
        <v>2145000</v>
      </c>
      <c r="K11" s="2414">
        <v>2400000</v>
      </c>
    </row>
    <row r="12" spans="1:12" ht="11.25" customHeight="1" x14ac:dyDescent="0.25">
      <c r="A12" s="2422" t="s">
        <v>1823</v>
      </c>
      <c r="B12" s="60" t="str">
        <f t="shared" si="1"/>
        <v/>
      </c>
      <c r="C12" s="2417">
        <v>1000000</v>
      </c>
      <c r="D12" s="2414">
        <v>982846</v>
      </c>
      <c r="E12" s="2414">
        <v>1279000</v>
      </c>
      <c r="F12" s="2415">
        <v>1157000</v>
      </c>
      <c r="G12" s="2415">
        <v>1157000</v>
      </c>
      <c r="H12" s="2415">
        <v>1157000</v>
      </c>
      <c r="I12" s="2417">
        <v>1258000</v>
      </c>
      <c r="J12" s="2413">
        <v>0</v>
      </c>
      <c r="K12" s="2414">
        <v>0</v>
      </c>
    </row>
    <row r="13" spans="1:12" ht="11.25" customHeight="1" x14ac:dyDescent="0.25">
      <c r="A13" s="2422" t="s">
        <v>1832</v>
      </c>
      <c r="B13" s="60" t="str">
        <f t="shared" si="1"/>
        <v/>
      </c>
      <c r="C13" s="2417">
        <v>800000</v>
      </c>
      <c r="D13" s="2414">
        <v>421974</v>
      </c>
      <c r="E13" s="2414">
        <v>183406</v>
      </c>
      <c r="F13" s="2415">
        <v>930000</v>
      </c>
      <c r="G13" s="2415">
        <v>930000</v>
      </c>
      <c r="H13" s="2415">
        <v>930000</v>
      </c>
      <c r="I13" s="2417">
        <v>750000</v>
      </c>
      <c r="J13" s="2413">
        <v>788000</v>
      </c>
      <c r="K13" s="2414">
        <v>0</v>
      </c>
    </row>
    <row r="14" spans="1:12" ht="18" customHeight="1" x14ac:dyDescent="0.25">
      <c r="A14" s="2422" t="s">
        <v>1188</v>
      </c>
      <c r="B14" s="60"/>
      <c r="C14" s="2428"/>
      <c r="D14" s="2428"/>
      <c r="E14" s="2429"/>
      <c r="F14" s="2430"/>
      <c r="G14" s="2428"/>
      <c r="H14" s="2431"/>
      <c r="I14" s="2432"/>
      <c r="J14" s="2428"/>
      <c r="K14" s="2429"/>
    </row>
    <row r="15" spans="1:12" ht="18" customHeight="1" x14ac:dyDescent="0.25">
      <c r="A15" s="250" t="s">
        <v>978</v>
      </c>
      <c r="B15" s="60"/>
      <c r="C15" s="624">
        <f>SUM(C16:C20)</f>
        <v>0</v>
      </c>
      <c r="D15" s="624">
        <f t="shared" ref="D15:K15" si="2">SUM(D16:D20)</f>
        <v>0</v>
      </c>
      <c r="E15" s="625">
        <f t="shared" si="2"/>
        <v>0</v>
      </c>
      <c r="F15" s="626">
        <f t="shared" si="2"/>
        <v>0</v>
      </c>
      <c r="G15" s="624">
        <f t="shared" si="2"/>
        <v>0</v>
      </c>
      <c r="H15" s="627">
        <f t="shared" si="2"/>
        <v>0</v>
      </c>
      <c r="I15" s="628">
        <f t="shared" si="2"/>
        <v>0</v>
      </c>
      <c r="J15" s="624">
        <f t="shared" si="2"/>
        <v>0</v>
      </c>
      <c r="K15" s="625">
        <f t="shared" si="2"/>
        <v>0</v>
      </c>
      <c r="L15" s="247"/>
    </row>
    <row r="16" spans="1:12" ht="11.25" customHeight="1" x14ac:dyDescent="0.25">
      <c r="A16" s="2422"/>
      <c r="B16" s="60" t="str">
        <f>IF(A16="  Housing",4,"")</f>
        <v/>
      </c>
      <c r="C16" s="2423"/>
      <c r="D16" s="2423"/>
      <c r="E16" s="2424"/>
      <c r="F16" s="2425"/>
      <c r="G16" s="2423"/>
      <c r="H16" s="2426"/>
      <c r="I16" s="2427"/>
      <c r="J16" s="2423"/>
      <c r="K16" s="2424"/>
      <c r="L16" s="247"/>
    </row>
    <row r="17" spans="1:12" ht="11.25" customHeight="1" x14ac:dyDescent="0.25">
      <c r="A17" s="2422"/>
      <c r="B17" s="60" t="str">
        <f>IF(A17="  Housing",4,"")</f>
        <v/>
      </c>
      <c r="C17" s="2413"/>
      <c r="D17" s="2413"/>
      <c r="E17" s="2414"/>
      <c r="F17" s="2415"/>
      <c r="G17" s="2413"/>
      <c r="H17" s="2416"/>
      <c r="I17" s="2417"/>
      <c r="J17" s="2413"/>
      <c r="K17" s="2414"/>
      <c r="L17" s="247"/>
    </row>
    <row r="18" spans="1:12" ht="11.25" customHeight="1" x14ac:dyDescent="0.25">
      <c r="A18" s="2422"/>
      <c r="B18" s="60" t="str">
        <f>IF(A18="  Housing",4,"")</f>
        <v/>
      </c>
      <c r="C18" s="2413"/>
      <c r="D18" s="2413"/>
      <c r="E18" s="2414"/>
      <c r="F18" s="2415"/>
      <c r="G18" s="2413"/>
      <c r="H18" s="2416"/>
      <c r="I18" s="2417"/>
      <c r="J18" s="2413"/>
      <c r="K18" s="2414"/>
      <c r="L18" s="247"/>
    </row>
    <row r="19" spans="1:12" ht="11.25" customHeight="1" x14ac:dyDescent="0.25">
      <c r="A19" s="2422"/>
      <c r="B19" s="60" t="str">
        <f>IF(A19="  Housing",4,"")</f>
        <v/>
      </c>
      <c r="C19" s="2413"/>
      <c r="D19" s="2413"/>
      <c r="E19" s="2414"/>
      <c r="F19" s="2415"/>
      <c r="G19" s="2413"/>
      <c r="H19" s="2416"/>
      <c r="I19" s="2417"/>
      <c r="J19" s="2413"/>
      <c r="K19" s="2414"/>
      <c r="L19" s="247"/>
    </row>
    <row r="20" spans="1:12" ht="11.25" customHeight="1" x14ac:dyDescent="0.25">
      <c r="A20" s="2422" t="str">
        <f>A14</f>
        <v xml:space="preserve">  Other transfers/grants [insert description]</v>
      </c>
      <c r="B20" s="60"/>
      <c r="C20" s="2428"/>
      <c r="D20" s="2428"/>
      <c r="E20" s="2429"/>
      <c r="F20" s="2430"/>
      <c r="G20" s="2428"/>
      <c r="H20" s="2431"/>
      <c r="I20" s="2432"/>
      <c r="J20" s="2428"/>
      <c r="K20" s="2429"/>
      <c r="L20" s="247"/>
    </row>
    <row r="21" spans="1:12" ht="18" customHeight="1" x14ac:dyDescent="0.25">
      <c r="A21" s="250" t="s">
        <v>1013</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33" t="s">
        <v>1044</v>
      </c>
      <c r="B22" s="60"/>
      <c r="C22" s="2423"/>
      <c r="D22" s="2423"/>
      <c r="E22" s="2424"/>
      <c r="F22" s="2425"/>
      <c r="G22" s="2423"/>
      <c r="H22" s="2426"/>
      <c r="I22" s="2427"/>
      <c r="J22" s="2423"/>
      <c r="K22" s="2424"/>
      <c r="L22" s="247"/>
    </row>
    <row r="23" spans="1:12" ht="11.25" customHeight="1" x14ac:dyDescent="0.25">
      <c r="A23" s="2433"/>
      <c r="B23" s="60"/>
      <c r="C23" s="2428"/>
      <c r="D23" s="2428"/>
      <c r="E23" s="2429"/>
      <c r="F23" s="2430"/>
      <c r="G23" s="2428"/>
      <c r="H23" s="2431"/>
      <c r="I23" s="2432"/>
      <c r="J23" s="2428"/>
      <c r="K23" s="2429"/>
      <c r="L23" s="247"/>
    </row>
    <row r="24" spans="1:12" ht="18" customHeight="1" x14ac:dyDescent="0.25">
      <c r="A24" s="250" t="s">
        <v>563</v>
      </c>
      <c r="B24" s="60"/>
      <c r="C24" s="624">
        <f>SUM(C25:C26)</f>
        <v>0</v>
      </c>
      <c r="D24" s="624">
        <f t="shared" ref="D24:K24" si="4">SUM(D25:D26)</f>
        <v>0</v>
      </c>
      <c r="E24" s="625">
        <f t="shared" si="4"/>
        <v>0</v>
      </c>
      <c r="F24" s="626">
        <f t="shared" si="4"/>
        <v>0</v>
      </c>
      <c r="G24" s="624">
        <f t="shared" si="4"/>
        <v>0</v>
      </c>
      <c r="H24" s="627">
        <f t="shared" si="4"/>
        <v>0</v>
      </c>
      <c r="I24" s="628">
        <f t="shared" si="4"/>
        <v>0</v>
      </c>
      <c r="J24" s="624">
        <f t="shared" si="4"/>
        <v>0</v>
      </c>
      <c r="K24" s="625">
        <f t="shared" si="4"/>
        <v>0</v>
      </c>
      <c r="L24" s="247"/>
    </row>
    <row r="25" spans="1:12" ht="11.25" customHeight="1" x14ac:dyDescent="0.25">
      <c r="A25" s="2433" t="s">
        <v>1044</v>
      </c>
      <c r="B25" s="60"/>
      <c r="C25" s="2423"/>
      <c r="D25" s="2423"/>
      <c r="E25" s="2424"/>
      <c r="F25" s="2425"/>
      <c r="G25" s="2423"/>
      <c r="H25" s="2426"/>
      <c r="I25" s="2427"/>
      <c r="J25" s="2423"/>
      <c r="K25" s="2424"/>
      <c r="L25" s="247"/>
    </row>
    <row r="26" spans="1:12" ht="11.25" customHeight="1" x14ac:dyDescent="0.25">
      <c r="A26" s="2433"/>
      <c r="B26" s="60"/>
      <c r="C26" s="2428"/>
      <c r="D26" s="2428"/>
      <c r="E26" s="2429"/>
      <c r="F26" s="2430"/>
      <c r="G26" s="2428"/>
      <c r="H26" s="2431"/>
      <c r="I26" s="2432"/>
      <c r="J26" s="2428"/>
      <c r="K26" s="2429"/>
      <c r="L26" s="247"/>
    </row>
    <row r="27" spans="1:12" s="642" customFormat="1" ht="15.75" customHeight="1" x14ac:dyDescent="0.2">
      <c r="A27" s="635" t="s">
        <v>345</v>
      </c>
      <c r="B27" s="636">
        <v>5</v>
      </c>
      <c r="C27" s="637">
        <f>C7+C15+C21+C24</f>
        <v>72029000</v>
      </c>
      <c r="D27" s="637">
        <f t="shared" ref="D27:K27" si="5">D7+D15+D21+D24</f>
        <v>81274672.620000005</v>
      </c>
      <c r="E27" s="638">
        <f t="shared" si="5"/>
        <v>94712291</v>
      </c>
      <c r="F27" s="639">
        <f t="shared" si="5"/>
        <v>122308000</v>
      </c>
      <c r="G27" s="637">
        <f t="shared" si="5"/>
        <v>122308000</v>
      </c>
      <c r="H27" s="640">
        <f t="shared" si="5"/>
        <v>122308000</v>
      </c>
      <c r="I27" s="641">
        <f t="shared" si="5"/>
        <v>121374000</v>
      </c>
      <c r="J27" s="637">
        <f t="shared" si="5"/>
        <v>129936000</v>
      </c>
      <c r="K27" s="638">
        <f t="shared" si="5"/>
        <v>137610000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27406237.710000001</v>
      </c>
      <c r="D30" s="624">
        <f t="shared" ref="D30:K30" si="6">SUM(D31:D36)</f>
        <v>17905587.59</v>
      </c>
      <c r="E30" s="625">
        <f t="shared" si="6"/>
        <v>31583815</v>
      </c>
      <c r="F30" s="626">
        <f t="shared" si="6"/>
        <v>32405000</v>
      </c>
      <c r="G30" s="624">
        <f t="shared" si="6"/>
        <v>35416882</v>
      </c>
      <c r="H30" s="627">
        <f t="shared" si="6"/>
        <v>35416882</v>
      </c>
      <c r="I30" s="628">
        <f t="shared" si="6"/>
        <v>31917000</v>
      </c>
      <c r="J30" s="624">
        <f t="shared" si="6"/>
        <v>34179000</v>
      </c>
      <c r="K30" s="625">
        <f t="shared" si="6"/>
        <v>36987000</v>
      </c>
      <c r="L30" s="247"/>
    </row>
    <row r="31" spans="1:12" ht="11.25" customHeight="1" x14ac:dyDescent="0.25">
      <c r="A31" s="2422" t="s">
        <v>1831</v>
      </c>
      <c r="B31" s="60"/>
      <c r="C31" s="2423">
        <v>27406237.710000001</v>
      </c>
      <c r="D31" s="2424">
        <v>17905587.59</v>
      </c>
      <c r="E31" s="2424">
        <v>31583815</v>
      </c>
      <c r="F31" s="2425">
        <v>32405000</v>
      </c>
      <c r="G31" s="2423">
        <v>35416882</v>
      </c>
      <c r="H31" s="2423">
        <v>35416882</v>
      </c>
      <c r="I31" s="2427">
        <v>31917000</v>
      </c>
      <c r="J31" s="2423">
        <v>34179000</v>
      </c>
      <c r="K31" s="2424">
        <v>36987000</v>
      </c>
      <c r="L31" s="247"/>
    </row>
    <row r="32" spans="1:12" ht="11.25" customHeight="1" x14ac:dyDescent="0.25">
      <c r="A32" s="2422"/>
      <c r="B32" s="60"/>
      <c r="C32" s="2413"/>
      <c r="D32" s="2413"/>
      <c r="E32" s="2414"/>
      <c r="F32" s="2415"/>
      <c r="G32" s="2413"/>
      <c r="H32" s="2416"/>
      <c r="I32" s="2417"/>
      <c r="J32" s="2413"/>
      <c r="K32" s="2414"/>
      <c r="L32" s="247"/>
    </row>
    <row r="33" spans="1:15" ht="11.25" customHeight="1" x14ac:dyDescent="0.25">
      <c r="A33" s="2422"/>
      <c r="B33" s="60"/>
      <c r="C33" s="2413"/>
      <c r="D33" s="2413"/>
      <c r="E33" s="2414"/>
      <c r="F33" s="2415"/>
      <c r="G33" s="2413"/>
      <c r="H33" s="2416"/>
      <c r="I33" s="2417"/>
      <c r="J33" s="2413"/>
      <c r="K33" s="2414"/>
      <c r="L33" s="247"/>
    </row>
    <row r="34" spans="1:15" ht="11.25" customHeight="1" x14ac:dyDescent="0.25">
      <c r="A34" s="2422"/>
      <c r="B34" s="60"/>
      <c r="C34" s="2413"/>
      <c r="D34" s="2413"/>
      <c r="E34" s="2414"/>
      <c r="F34" s="2415"/>
      <c r="G34" s="2413"/>
      <c r="H34" s="2416"/>
      <c r="I34" s="2417"/>
      <c r="J34" s="2413"/>
      <c r="K34" s="2414"/>
      <c r="L34" s="247"/>
    </row>
    <row r="35" spans="1:15" ht="11.25" customHeight="1" x14ac:dyDescent="0.25">
      <c r="A35" s="2422"/>
      <c r="B35" s="60"/>
      <c r="C35" s="2413"/>
      <c r="D35" s="2413"/>
      <c r="E35" s="2414"/>
      <c r="F35" s="2415"/>
      <c r="G35" s="2413"/>
      <c r="H35" s="2416"/>
      <c r="I35" s="2417"/>
      <c r="J35" s="2413"/>
      <c r="K35" s="2414"/>
      <c r="L35" s="247"/>
    </row>
    <row r="36" spans="1:15" ht="11.25" customHeight="1" x14ac:dyDescent="0.25">
      <c r="A36" s="2422" t="s">
        <v>844</v>
      </c>
      <c r="B36" s="60"/>
      <c r="C36" s="2428"/>
      <c r="D36" s="2428"/>
      <c r="E36" s="2429"/>
      <c r="F36" s="2430"/>
      <c r="G36" s="2428"/>
      <c r="H36" s="2431"/>
      <c r="I36" s="2432"/>
      <c r="J36" s="2428"/>
      <c r="K36" s="2429"/>
      <c r="L36" s="247"/>
    </row>
    <row r="37" spans="1:15" ht="18" customHeight="1" x14ac:dyDescent="0.25">
      <c r="A37" s="643" t="str">
        <f>A15</f>
        <v>Provincial Government:</v>
      </c>
      <c r="B37" s="60"/>
      <c r="C37" s="624">
        <f>SUM(C38)</f>
        <v>0</v>
      </c>
      <c r="D37" s="624">
        <f t="shared" ref="D37:K37" si="7">SUM(D38)</f>
        <v>0</v>
      </c>
      <c r="E37" s="625">
        <f t="shared" si="7"/>
        <v>0</v>
      </c>
      <c r="F37" s="626">
        <f t="shared" si="7"/>
        <v>0</v>
      </c>
      <c r="G37" s="624">
        <f t="shared" si="7"/>
        <v>0</v>
      </c>
      <c r="H37" s="627">
        <f t="shared" si="7"/>
        <v>0</v>
      </c>
      <c r="I37" s="628">
        <f t="shared" si="7"/>
        <v>0</v>
      </c>
      <c r="J37" s="624">
        <f t="shared" si="7"/>
        <v>0</v>
      </c>
      <c r="K37" s="625">
        <f t="shared" si="7"/>
        <v>0</v>
      </c>
      <c r="L37" s="247"/>
      <c r="O37" s="247"/>
    </row>
    <row r="38" spans="1:15" ht="25.5" x14ac:dyDescent="0.25">
      <c r="A38" s="2434" t="s">
        <v>1554</v>
      </c>
      <c r="B38" s="60"/>
      <c r="C38" s="2435"/>
      <c r="D38" s="2435"/>
      <c r="E38" s="2436"/>
      <c r="F38" s="2437"/>
      <c r="G38" s="2435"/>
      <c r="H38" s="2438"/>
      <c r="I38" s="2439"/>
      <c r="J38" s="2435"/>
      <c r="K38" s="2436"/>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33" t="str">
        <f>A22</f>
        <v xml:space="preserve">  [insert description]</v>
      </c>
      <c r="B40" s="60"/>
      <c r="C40" s="2423"/>
      <c r="D40" s="2423"/>
      <c r="E40" s="2424"/>
      <c r="F40" s="2425"/>
      <c r="G40" s="2423"/>
      <c r="H40" s="2426"/>
      <c r="I40" s="2427"/>
      <c r="J40" s="2423"/>
      <c r="K40" s="2424"/>
      <c r="L40" s="247"/>
    </row>
    <row r="41" spans="1:15" ht="11.25" customHeight="1" x14ac:dyDescent="0.25">
      <c r="A41" s="2433"/>
      <c r="B41" s="60"/>
      <c r="C41" s="2428"/>
      <c r="D41" s="2428"/>
      <c r="E41" s="2429"/>
      <c r="F41" s="2430"/>
      <c r="G41" s="2428"/>
      <c r="H41" s="2431"/>
      <c r="I41" s="2432"/>
      <c r="J41" s="2428"/>
      <c r="K41" s="2429"/>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33" t="str">
        <f>LEFT(A25,22)</f>
        <v xml:space="preserve">  [insert description]</v>
      </c>
      <c r="B43" s="60"/>
      <c r="C43" s="2423"/>
      <c r="D43" s="2423"/>
      <c r="E43" s="2424"/>
      <c r="F43" s="2425"/>
      <c r="G43" s="2423"/>
      <c r="H43" s="2426"/>
      <c r="I43" s="2427"/>
      <c r="J43" s="2423"/>
      <c r="K43" s="2424"/>
      <c r="L43" s="247"/>
    </row>
    <row r="44" spans="1:15" ht="11.25" customHeight="1" x14ac:dyDescent="0.25">
      <c r="A44" s="2433"/>
      <c r="B44" s="60"/>
      <c r="C44" s="2428"/>
      <c r="D44" s="2428"/>
      <c r="E44" s="2429"/>
      <c r="F44" s="2430"/>
      <c r="G44" s="2428"/>
      <c r="H44" s="2431"/>
      <c r="I44" s="2432"/>
      <c r="J44" s="2428"/>
      <c r="K44" s="2429"/>
      <c r="L44" s="247"/>
    </row>
    <row r="45" spans="1:15" ht="15.75" customHeight="1" x14ac:dyDescent="0.25">
      <c r="A45" s="644" t="s">
        <v>347</v>
      </c>
      <c r="B45" s="645">
        <v>5</v>
      </c>
      <c r="C45" s="624">
        <f t="shared" ref="C45:K45" si="10">C30+C37+C39+C42</f>
        <v>27406237.710000001</v>
      </c>
      <c r="D45" s="624">
        <f t="shared" si="10"/>
        <v>17905587.59</v>
      </c>
      <c r="E45" s="625">
        <f t="shared" si="10"/>
        <v>31583815</v>
      </c>
      <c r="F45" s="626">
        <f t="shared" si="10"/>
        <v>32405000</v>
      </c>
      <c r="G45" s="624">
        <f t="shared" si="10"/>
        <v>35416882</v>
      </c>
      <c r="H45" s="627">
        <f t="shared" si="10"/>
        <v>35416882</v>
      </c>
      <c r="I45" s="628">
        <f t="shared" si="10"/>
        <v>31917000</v>
      </c>
      <c r="J45" s="624">
        <f t="shared" si="10"/>
        <v>34179000</v>
      </c>
      <c r="K45" s="625">
        <f t="shared" si="10"/>
        <v>36987000</v>
      </c>
      <c r="L45" s="247"/>
    </row>
    <row r="46" spans="1:15" s="642" customFormat="1" ht="16.5" customHeight="1" x14ac:dyDescent="0.2">
      <c r="A46" s="646" t="s">
        <v>348</v>
      </c>
      <c r="B46" s="647"/>
      <c r="C46" s="648">
        <f t="shared" ref="C46:K46" si="11">C27+C45</f>
        <v>99435237.710000008</v>
      </c>
      <c r="D46" s="648">
        <f t="shared" si="11"/>
        <v>99180260.210000008</v>
      </c>
      <c r="E46" s="649">
        <f t="shared" si="11"/>
        <v>126296106</v>
      </c>
      <c r="F46" s="650">
        <f t="shared" si="11"/>
        <v>154713000</v>
      </c>
      <c r="G46" s="648">
        <f t="shared" si="11"/>
        <v>157724882</v>
      </c>
      <c r="H46" s="651">
        <f t="shared" si="11"/>
        <v>157724882</v>
      </c>
      <c r="I46" s="652">
        <f t="shared" si="11"/>
        <v>153291000</v>
      </c>
      <c r="J46" s="648">
        <f t="shared" si="11"/>
        <v>164115000</v>
      </c>
      <c r="K46" s="649">
        <f t="shared" si="11"/>
        <v>174597000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1345</v>
      </c>
      <c r="B49" s="897"/>
      <c r="C49" s="900"/>
      <c r="D49" s="900"/>
      <c r="E49" s="901"/>
      <c r="F49" s="901"/>
      <c r="G49" s="901"/>
      <c r="H49" s="901"/>
      <c r="I49" s="901"/>
      <c r="J49" s="901"/>
      <c r="K49" s="901"/>
    </row>
    <row r="50" spans="1:11" s="586" customFormat="1" ht="11.25" customHeight="1" x14ac:dyDescent="0.25">
      <c r="A50" s="1052" t="s">
        <v>562</v>
      </c>
      <c r="B50" s="897"/>
      <c r="C50" s="900"/>
      <c r="D50" s="900"/>
      <c r="E50" s="901"/>
      <c r="F50" s="901"/>
      <c r="G50" s="901"/>
      <c r="H50" s="901"/>
      <c r="I50" s="901"/>
      <c r="J50" s="901"/>
      <c r="K50" s="901"/>
    </row>
    <row r="51" spans="1:11" s="586" customFormat="1" ht="11.25" customHeight="1" x14ac:dyDescent="0.25">
      <c r="A51" s="1055" t="s">
        <v>1312</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860</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728</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1520</v>
      </c>
      <c r="Z1" s="1026" t="s">
        <v>1521</v>
      </c>
      <c r="AA1" s="1026" t="s">
        <v>1523</v>
      </c>
      <c r="AB1" s="1026" t="s">
        <v>1522</v>
      </c>
      <c r="AC1" s="1026" t="s">
        <v>1187</v>
      </c>
    </row>
    <row r="2" spans="1:29" x14ac:dyDescent="0.2">
      <c r="A2" s="6" t="str">
        <f>'Template names'!C2</f>
        <v>Prior year -1</v>
      </c>
      <c r="B2" s="5" t="s">
        <v>1009</v>
      </c>
      <c r="C2" s="5" t="s">
        <v>1237</v>
      </c>
      <c r="D2" s="5" t="s">
        <v>1057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1041</v>
      </c>
      <c r="X2" s="11" t="s">
        <v>1603</v>
      </c>
      <c r="Z2" s="1" t="s">
        <v>1835</v>
      </c>
      <c r="AA2" s="1" t="s">
        <v>1836</v>
      </c>
      <c r="AB2" s="1" t="s">
        <v>1831</v>
      </c>
      <c r="AC2" s="1" t="s">
        <v>1824</v>
      </c>
    </row>
    <row r="3" spans="1:29" x14ac:dyDescent="0.2">
      <c r="A3" s="6" t="str">
        <f>'Template names'!C3</f>
        <v>Prior year -2</v>
      </c>
      <c r="B3" s="5" t="s">
        <v>1010</v>
      </c>
      <c r="C3" s="5" t="s">
        <v>1009</v>
      </c>
      <c r="D3" s="5" t="s">
        <v>1237</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781</v>
      </c>
      <c r="R3" s="4">
        <v>1</v>
      </c>
      <c r="S3" s="4">
        <v>4</v>
      </c>
      <c r="T3" s="4" t="s">
        <v>161</v>
      </c>
      <c r="U3" s="8" t="s">
        <v>162</v>
      </c>
      <c r="V3" s="12" t="s">
        <v>781</v>
      </c>
      <c r="W3" s="12" t="s">
        <v>1600</v>
      </c>
      <c r="X3" s="12" t="s">
        <v>1604</v>
      </c>
      <c r="Z3" s="1" t="s">
        <v>1834</v>
      </c>
      <c r="AA3" s="1" t="s">
        <v>1837</v>
      </c>
      <c r="AB3" s="1" t="s">
        <v>1830</v>
      </c>
      <c r="AC3" s="1" t="s">
        <v>1825</v>
      </c>
    </row>
    <row r="4" spans="1:29" x14ac:dyDescent="0.2">
      <c r="A4" s="6" t="str">
        <f>'Template names'!C4</f>
        <v>Prior year -3</v>
      </c>
      <c r="B4" s="5" t="s">
        <v>1011</v>
      </c>
      <c r="C4" s="5" t="s">
        <v>1010</v>
      </c>
      <c r="D4" s="5" t="s">
        <v>1009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1833</v>
      </c>
      <c r="AA4" s="1" t="s">
        <v>1626</v>
      </c>
      <c r="AB4" s="1" t="s">
        <v>1819</v>
      </c>
      <c r="AC4" s="1" t="s">
        <v>1699</v>
      </c>
    </row>
    <row r="5" spans="1:29" x14ac:dyDescent="0.2">
      <c r="A5" s="6" t="str">
        <f>'Template names'!C5</f>
        <v>Year in which budget is being prepared</v>
      </c>
      <c r="B5" s="5" t="s">
        <v>382</v>
      </c>
      <c r="C5" s="5" t="s">
        <v>1056</v>
      </c>
      <c r="D5" s="5" t="s">
        <v>1064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1832</v>
      </c>
      <c r="AA5" s="1" t="s">
        <v>1829</v>
      </c>
      <c r="AB5" s="1" t="s">
        <v>1821</v>
      </c>
      <c r="AC5" s="1" t="s">
        <v>1826</v>
      </c>
    </row>
    <row r="6" spans="1:29" x14ac:dyDescent="0.2">
      <c r="A6" s="6" t="str">
        <f>'Template names'!C6</f>
        <v>Year in which budget is being prepared</v>
      </c>
      <c r="B6" s="5" t="s">
        <v>1237</v>
      </c>
      <c r="C6" s="5" t="s">
        <v>1057</v>
      </c>
      <c r="D6" s="5" t="s">
        <v>1065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1040</v>
      </c>
      <c r="Z6" s="2" t="s">
        <v>1812</v>
      </c>
      <c r="AB6" s="1" t="s">
        <v>1820</v>
      </c>
      <c r="AC6" s="1" t="s">
        <v>1827</v>
      </c>
    </row>
    <row r="7" spans="1:29" x14ac:dyDescent="0.2">
      <c r="A7" s="6" t="str">
        <f>'Template names'!C7</f>
        <v>MTREF name</v>
      </c>
      <c r="B7" s="5" t="s">
        <v>753</v>
      </c>
      <c r="C7" s="5" t="s">
        <v>754</v>
      </c>
      <c r="D7" s="5" t="s">
        <v>755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1813</v>
      </c>
      <c r="AB7" s="1" t="s">
        <v>1817</v>
      </c>
      <c r="AC7" s="1" t="s">
        <v>1828</v>
      </c>
    </row>
    <row r="8" spans="1:29" x14ac:dyDescent="0.2">
      <c r="A8" s="6" t="str">
        <f>'Template names'!C15</f>
        <v>1st year of MTREF</v>
      </c>
      <c r="B8" s="5" t="s">
        <v>1550</v>
      </c>
      <c r="C8" s="5" t="s">
        <v>1058</v>
      </c>
      <c r="D8" s="5" t="s">
        <v>1066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1039</v>
      </c>
      <c r="Z8" s="2" t="s">
        <v>1814</v>
      </c>
      <c r="AB8" s="1" t="s">
        <v>1818</v>
      </c>
      <c r="AC8" s="1" t="s">
        <v>1829</v>
      </c>
    </row>
    <row r="9" spans="1:29" x14ac:dyDescent="0.2">
      <c r="A9" s="6" t="str">
        <f>'Template names'!C16</f>
        <v>2nd year of MTREF</v>
      </c>
      <c r="B9" s="5" t="s">
        <v>1551</v>
      </c>
      <c r="C9" s="5" t="s">
        <v>1059</v>
      </c>
      <c r="D9" s="5" t="s">
        <v>1315</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1815</v>
      </c>
    </row>
    <row r="10" spans="1:29" x14ac:dyDescent="0.2">
      <c r="A10" s="6" t="str">
        <f>'Template names'!C17</f>
        <v>3rd year of MTREF</v>
      </c>
      <c r="B10" s="5" t="s">
        <v>1552</v>
      </c>
      <c r="C10" s="5" t="s">
        <v>1060</v>
      </c>
      <c r="D10" s="5" t="s">
        <v>1316</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1816</v>
      </c>
    </row>
    <row r="11" spans="1:29" x14ac:dyDescent="0.2">
      <c r="A11" s="6" t="str">
        <f>'Template names'!C18</f>
        <v>1st yr of long term forecast</v>
      </c>
      <c r="B11" s="5" t="s">
        <v>1622</v>
      </c>
      <c r="C11" s="5" t="s">
        <v>1623</v>
      </c>
      <c r="D11" s="5" t="s">
        <v>1624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1822</v>
      </c>
    </row>
    <row r="12" spans="1:29" x14ac:dyDescent="0.2">
      <c r="A12" s="6" t="str">
        <f>'Template names'!C19</f>
        <v>Next yr of long term forecast</v>
      </c>
      <c r="B12" s="5" t="s">
        <v>1623</v>
      </c>
      <c r="C12" s="5" t="s">
        <v>1624</v>
      </c>
      <c r="D12" s="5" t="s">
        <v>1625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1823</v>
      </c>
    </row>
    <row r="13" spans="1:29" x14ac:dyDescent="0.2">
      <c r="A13" s="6" t="str">
        <f>'Template names'!C20</f>
        <v>Next yr of long term forecast</v>
      </c>
      <c r="B13" s="5" t="s">
        <v>1624</v>
      </c>
      <c r="C13" s="5" t="s">
        <v>1625</v>
      </c>
      <c r="D13" s="5" t="s">
        <v>869</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1625</v>
      </c>
      <c r="C14" s="5" t="s">
        <v>869</v>
      </c>
      <c r="D14" s="5" t="s">
        <v>870</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1885</v>
      </c>
      <c r="AA14" s="1026" t="s">
        <v>1886</v>
      </c>
    </row>
    <row r="15" spans="1:29" x14ac:dyDescent="0.2">
      <c r="A15" s="6" t="str">
        <f>'Template names'!C22</f>
        <v>Next yr of long term forecast</v>
      </c>
      <c r="B15" s="5" t="s">
        <v>869</v>
      </c>
      <c r="C15" s="5" t="s">
        <v>870</v>
      </c>
      <c r="D15" s="5" t="s">
        <v>871</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870</v>
      </c>
      <c r="C16" s="5" t="s">
        <v>871</v>
      </c>
      <c r="D16" s="5" t="s">
        <v>872</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871</v>
      </c>
      <c r="C17" s="5" t="s">
        <v>872</v>
      </c>
      <c r="D17" s="5" t="s">
        <v>1480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872</v>
      </c>
      <c r="C18" s="5" t="s">
        <v>1480</v>
      </c>
      <c r="D18" s="5" t="s">
        <v>1479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1480</v>
      </c>
      <c r="C19" s="5" t="s">
        <v>1479</v>
      </c>
      <c r="D19" s="5" t="s">
        <v>873</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1479</v>
      </c>
      <c r="C20" s="5" t="s">
        <v>873</v>
      </c>
      <c r="D20" s="5" t="s">
        <v>1549</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873</v>
      </c>
      <c r="C21" s="5" t="s">
        <v>1549</v>
      </c>
      <c r="D21" s="5" t="s">
        <v>1061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1498</v>
      </c>
      <c r="AA21" s="2" t="s">
        <v>25</v>
      </c>
    </row>
    <row r="22" spans="1:27" x14ac:dyDescent="0.2">
      <c r="A22" s="6" t="str">
        <f>'Template names'!C29</f>
        <v>Next yr of long term forecast</v>
      </c>
      <c r="B22" s="5" t="s">
        <v>1549</v>
      </c>
      <c r="C22" s="5" t="s">
        <v>1061</v>
      </c>
      <c r="D22" s="5" t="s">
        <v>1317</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1887</v>
      </c>
      <c r="AA22" s="2" t="s">
        <v>26</v>
      </c>
    </row>
    <row r="23" spans="1:27" x14ac:dyDescent="0.2">
      <c r="A23" s="6" t="s">
        <v>1320</v>
      </c>
      <c r="B23" s="5" t="s">
        <v>1641</v>
      </c>
      <c r="C23" s="5" t="s">
        <v>1062</v>
      </c>
      <c r="D23" s="5" t="s">
        <v>1318</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1888</v>
      </c>
      <c r="AA23" s="2" t="s">
        <v>27</v>
      </c>
    </row>
    <row r="24" spans="1:27" x14ac:dyDescent="0.2">
      <c r="A24" s="7" t="str">
        <f>A23</f>
        <v>Adjustments Budget</v>
      </c>
      <c r="B24" s="10" t="s">
        <v>1642</v>
      </c>
      <c r="C24" s="10" t="s">
        <v>1063</v>
      </c>
      <c r="D24" s="10" t="s">
        <v>1319</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1893</v>
      </c>
      <c r="AA24" s="2" t="s">
        <v>29</v>
      </c>
    </row>
    <row r="25" spans="1:27" ht="18" x14ac:dyDescent="0.25">
      <c r="A25" s="882" t="s">
        <v>517</v>
      </c>
      <c r="Z25" s="2" t="s">
        <v>1467</v>
      </c>
      <c r="AA25" s="2" t="s">
        <v>1037</v>
      </c>
    </row>
    <row r="26" spans="1:27" x14ac:dyDescent="0.2">
      <c r="Z26" s="2" t="s">
        <v>136</v>
      </c>
      <c r="AA26" s="2" t="s">
        <v>304</v>
      </c>
    </row>
    <row r="27" spans="1:27" ht="12.75" x14ac:dyDescent="0.2">
      <c r="A27" s="1372" t="s">
        <v>93</v>
      </c>
      <c r="B27" s="1372">
        <v>168</v>
      </c>
      <c r="C27" s="1372"/>
      <c r="D27" s="1372"/>
      <c r="Z27" s="2" t="s">
        <v>836</v>
      </c>
      <c r="AA27" s="2" t="s">
        <v>138</v>
      </c>
    </row>
    <row r="28" spans="1:27" ht="12.75" x14ac:dyDescent="0.2">
      <c r="A28" s="1372" t="s">
        <v>92</v>
      </c>
      <c r="B28" s="1372" t="str">
        <f>INDEX(B29:B307,B27,1)</f>
        <v>LIM471 Ephraim Mogale</v>
      </c>
      <c r="C28" s="1372"/>
      <c r="D28" s="1372"/>
      <c r="Z28" s="2" t="s">
        <v>276</v>
      </c>
      <c r="AA28" s="2" t="s">
        <v>2</v>
      </c>
    </row>
    <row r="29" spans="1:27" ht="12.75" x14ac:dyDescent="0.2">
      <c r="A29" s="1372"/>
      <c r="B29" s="1372" t="s">
        <v>91</v>
      </c>
      <c r="C29" s="1372" t="s">
        <v>699</v>
      </c>
      <c r="D29" s="1372"/>
      <c r="AA29" s="2" t="s">
        <v>1518</v>
      </c>
    </row>
    <row r="30" spans="1:27" ht="12.75" x14ac:dyDescent="0.2">
      <c r="A30" s="1372"/>
      <c r="B30" s="1385" t="s">
        <v>2149</v>
      </c>
      <c r="C30" s="1299" t="s">
        <v>117</v>
      </c>
      <c r="D30" s="1372"/>
      <c r="AA30" s="2" t="s">
        <v>480</v>
      </c>
    </row>
    <row r="31" spans="1:27" ht="12.75" x14ac:dyDescent="0.2">
      <c r="A31" s="1372"/>
      <c r="B31" s="1385" t="s">
        <v>2150</v>
      </c>
      <c r="C31" s="1301" t="s">
        <v>117</v>
      </c>
      <c r="D31" s="1372"/>
      <c r="AA31" s="2" t="s">
        <v>1</v>
      </c>
    </row>
    <row r="32" spans="1:27" ht="12.75" x14ac:dyDescent="0.2">
      <c r="A32" s="1372"/>
      <c r="B32" s="1385" t="s">
        <v>1137</v>
      </c>
      <c r="C32" s="1299" t="s">
        <v>117</v>
      </c>
      <c r="D32" s="1372"/>
      <c r="AA32" s="2" t="s">
        <v>323</v>
      </c>
    </row>
    <row r="33" spans="1:27" ht="12.75" x14ac:dyDescent="0.2">
      <c r="A33" s="1372"/>
      <c r="B33" s="1385" t="s">
        <v>1138</v>
      </c>
      <c r="C33" s="1299" t="s">
        <v>117</v>
      </c>
      <c r="D33" s="1372"/>
      <c r="AA33" s="2" t="s">
        <v>0</v>
      </c>
    </row>
    <row r="34" spans="1:27" ht="12.75" x14ac:dyDescent="0.2">
      <c r="A34" s="1372"/>
      <c r="B34" s="1385" t="s">
        <v>1139</v>
      </c>
      <c r="C34" s="1299" t="s">
        <v>117</v>
      </c>
      <c r="D34" s="1372"/>
      <c r="AA34" s="2" t="s">
        <v>1519</v>
      </c>
    </row>
    <row r="35" spans="1:27" ht="12.75" x14ac:dyDescent="0.2">
      <c r="A35" s="1372"/>
      <c r="B35" s="1385" t="s">
        <v>1140</v>
      </c>
      <c r="C35" s="1299" t="s">
        <v>117</v>
      </c>
      <c r="D35" s="1372"/>
      <c r="AA35" s="2" t="s">
        <v>914</v>
      </c>
    </row>
    <row r="36" spans="1:27" ht="12.75" x14ac:dyDescent="0.2">
      <c r="A36" s="1372"/>
      <c r="B36" s="1385" t="s">
        <v>1141</v>
      </c>
      <c r="C36" s="1299" t="s">
        <v>117</v>
      </c>
      <c r="D36" s="1372"/>
      <c r="AA36" s="2" t="s">
        <v>1458</v>
      </c>
    </row>
    <row r="37" spans="1:27" ht="12.75" x14ac:dyDescent="0.2">
      <c r="A37" s="1372"/>
      <c r="B37" s="1385" t="s">
        <v>1142</v>
      </c>
      <c r="C37" s="1301" t="s">
        <v>117</v>
      </c>
      <c r="D37" s="1372"/>
      <c r="AA37" s="2" t="s">
        <v>1232</v>
      </c>
    </row>
    <row r="38" spans="1:27" ht="12.75" x14ac:dyDescent="0.2">
      <c r="A38" s="1372"/>
      <c r="B38" s="1385" t="s">
        <v>1143</v>
      </c>
      <c r="C38" s="1299" t="s">
        <v>117</v>
      </c>
      <c r="D38" s="1372"/>
      <c r="AA38" s="2" t="s">
        <v>681</v>
      </c>
    </row>
    <row r="39" spans="1:27" ht="12.75" x14ac:dyDescent="0.2">
      <c r="A39" s="1372"/>
      <c r="B39" s="1385" t="s">
        <v>1144</v>
      </c>
      <c r="C39" s="1465" t="s">
        <v>117</v>
      </c>
      <c r="D39" s="1372"/>
      <c r="AA39" s="2" t="s">
        <v>478</v>
      </c>
    </row>
    <row r="40" spans="1:27" ht="12.75" x14ac:dyDescent="0.2">
      <c r="A40" s="1372"/>
      <c r="B40" s="1385" t="s">
        <v>1799</v>
      </c>
      <c r="C40" s="1465" t="s">
        <v>117</v>
      </c>
      <c r="D40" s="1372"/>
      <c r="AA40" s="2" t="s">
        <v>31</v>
      </c>
    </row>
    <row r="41" spans="1:27" ht="12.75" x14ac:dyDescent="0.2">
      <c r="A41" s="1372"/>
      <c r="B41" s="1385" t="s">
        <v>2193</v>
      </c>
      <c r="C41" s="1466" t="s">
        <v>117</v>
      </c>
      <c r="D41" s="1372"/>
      <c r="AA41" s="2" t="s">
        <v>1205</v>
      </c>
    </row>
    <row r="42" spans="1:27" ht="12.75" x14ac:dyDescent="0.2">
      <c r="A42" s="1372"/>
      <c r="B42" s="1385" t="s">
        <v>1145</v>
      </c>
      <c r="C42" s="1466" t="s">
        <v>117</v>
      </c>
      <c r="D42" s="1372"/>
      <c r="AA42" s="2" t="s">
        <v>479</v>
      </c>
    </row>
    <row r="43" spans="1:27" ht="12.75" x14ac:dyDescent="0.2">
      <c r="A43" s="1372"/>
      <c r="B43" s="1385" t="s">
        <v>1146</v>
      </c>
      <c r="C43" s="1466" t="s">
        <v>117</v>
      </c>
      <c r="D43" s="1372"/>
      <c r="AA43" s="2" t="s">
        <v>591</v>
      </c>
    </row>
    <row r="44" spans="1:27" ht="12.75" x14ac:dyDescent="0.2">
      <c r="A44" s="1372"/>
      <c r="B44" s="1385" t="s">
        <v>1147</v>
      </c>
      <c r="C44" s="1466" t="s">
        <v>117</v>
      </c>
      <c r="D44" s="1372"/>
      <c r="AA44" s="2" t="s">
        <v>1889</v>
      </c>
    </row>
    <row r="45" spans="1:27" ht="12.75" x14ac:dyDescent="0.2">
      <c r="A45" s="1372"/>
      <c r="B45" s="1385" t="s">
        <v>1148</v>
      </c>
      <c r="C45" s="1466" t="s">
        <v>117</v>
      </c>
      <c r="D45" s="1372"/>
      <c r="AA45" s="2" t="s">
        <v>1890</v>
      </c>
    </row>
    <row r="46" spans="1:27" ht="12.75" x14ac:dyDescent="0.2">
      <c r="A46" s="1372"/>
      <c r="B46" s="1385" t="s">
        <v>1149</v>
      </c>
      <c r="C46" s="1466" t="s">
        <v>117</v>
      </c>
      <c r="D46" s="1372"/>
      <c r="AA46" s="2" t="s">
        <v>1891</v>
      </c>
    </row>
    <row r="47" spans="1:27" ht="12.75" x14ac:dyDescent="0.2">
      <c r="A47" s="1372"/>
      <c r="B47" s="1385" t="s">
        <v>1150</v>
      </c>
      <c r="C47" s="1466" t="s">
        <v>117</v>
      </c>
      <c r="D47" s="1372"/>
      <c r="AA47" s="2" t="s">
        <v>1892</v>
      </c>
    </row>
    <row r="48" spans="1:27" ht="12.75" x14ac:dyDescent="0.2">
      <c r="A48" s="1372"/>
      <c r="B48" s="1385" t="s">
        <v>1151</v>
      </c>
      <c r="C48" s="1466" t="s">
        <v>117</v>
      </c>
      <c r="D48" s="1372"/>
      <c r="AA48" s="2" t="s">
        <v>1193</v>
      </c>
    </row>
    <row r="49" spans="1:27" ht="12.75" x14ac:dyDescent="0.2">
      <c r="A49" s="1372"/>
      <c r="B49" s="1385" t="s">
        <v>1666</v>
      </c>
      <c r="C49" s="1466" t="s">
        <v>117</v>
      </c>
      <c r="D49" s="1372"/>
      <c r="AA49" s="2" t="s">
        <v>592</v>
      </c>
    </row>
    <row r="50" spans="1:27" ht="12.75" x14ac:dyDescent="0.2">
      <c r="A50" s="1372"/>
      <c r="B50" s="1385" t="s">
        <v>1152</v>
      </c>
      <c r="C50" s="1466" t="s">
        <v>117</v>
      </c>
      <c r="D50" s="1372"/>
      <c r="AA50" s="2" t="s">
        <v>593</v>
      </c>
    </row>
    <row r="51" spans="1:27" ht="12.75" x14ac:dyDescent="0.2">
      <c r="A51" s="1372"/>
      <c r="B51" s="1385" t="s">
        <v>1153</v>
      </c>
      <c r="C51" s="1465" t="s">
        <v>117</v>
      </c>
      <c r="D51" s="1372"/>
      <c r="AA51" s="2" t="s">
        <v>1194</v>
      </c>
    </row>
    <row r="52" spans="1:27" ht="12.75" x14ac:dyDescent="0.2">
      <c r="A52" s="1372"/>
      <c r="B52" s="1385" t="s">
        <v>1154</v>
      </c>
      <c r="C52" s="1465" t="s">
        <v>117</v>
      </c>
      <c r="D52" s="1372"/>
      <c r="AA52" s="2" t="s">
        <v>1195</v>
      </c>
    </row>
    <row r="53" spans="1:27" ht="12.75" x14ac:dyDescent="0.2">
      <c r="A53" s="1372"/>
      <c r="B53" s="1385" t="s">
        <v>180</v>
      </c>
      <c r="C53" s="1465" t="s">
        <v>117</v>
      </c>
      <c r="D53" s="1372"/>
      <c r="AA53" s="2" t="s">
        <v>1456</v>
      </c>
    </row>
    <row r="54" spans="1:27" ht="12.75" x14ac:dyDescent="0.2">
      <c r="A54" s="1372"/>
      <c r="B54" s="1385" t="s">
        <v>181</v>
      </c>
      <c r="C54" s="1465" t="s">
        <v>117</v>
      </c>
      <c r="D54" s="1372"/>
      <c r="AA54" s="2" t="s">
        <v>306</v>
      </c>
    </row>
    <row r="55" spans="1:27" ht="12.75" x14ac:dyDescent="0.2">
      <c r="A55" s="1372"/>
      <c r="B55" s="1385" t="s">
        <v>2158</v>
      </c>
      <c r="C55" s="1465" t="s">
        <v>117</v>
      </c>
      <c r="D55" s="1372"/>
      <c r="AA55" s="2" t="s">
        <v>305</v>
      </c>
    </row>
    <row r="56" spans="1:27" ht="12.75" x14ac:dyDescent="0.2">
      <c r="A56" s="1372"/>
      <c r="B56" s="1385" t="s">
        <v>182</v>
      </c>
      <c r="C56" s="1465" t="s">
        <v>117</v>
      </c>
      <c r="D56" s="1372"/>
      <c r="AA56" s="2" t="s">
        <v>594</v>
      </c>
    </row>
    <row r="57" spans="1:27" ht="12.75" x14ac:dyDescent="0.2">
      <c r="A57" s="1372"/>
      <c r="B57" s="1385" t="s">
        <v>183</v>
      </c>
      <c r="C57" s="1298" t="s">
        <v>117</v>
      </c>
      <c r="D57" s="1372"/>
      <c r="AA57" s="2" t="s">
        <v>925</v>
      </c>
    </row>
    <row r="58" spans="1:27" ht="12.75" x14ac:dyDescent="0.2">
      <c r="A58" s="1372"/>
      <c r="B58" s="1385" t="s">
        <v>1653</v>
      </c>
      <c r="C58" s="1305" t="s">
        <v>117</v>
      </c>
      <c r="D58" s="1372"/>
      <c r="AA58" s="2" t="s">
        <v>276</v>
      </c>
    </row>
    <row r="59" spans="1:27" ht="12.75" x14ac:dyDescent="0.2">
      <c r="A59" s="1372"/>
      <c r="B59" s="1385" t="s">
        <v>184</v>
      </c>
      <c r="C59" s="1305" t="s">
        <v>117</v>
      </c>
      <c r="D59" s="1372"/>
    </row>
    <row r="60" spans="1:27" ht="12.75" x14ac:dyDescent="0.2">
      <c r="A60" s="1372"/>
      <c r="B60" s="1385" t="s">
        <v>185</v>
      </c>
      <c r="C60" s="1465" t="s">
        <v>117</v>
      </c>
      <c r="D60" s="1372"/>
      <c r="Z60" s="1026" t="s">
        <v>2146</v>
      </c>
      <c r="AA60" s="1026"/>
    </row>
    <row r="61" spans="1:27" ht="12.75" x14ac:dyDescent="0.2">
      <c r="A61" s="1372"/>
      <c r="B61" s="1385" t="s">
        <v>186</v>
      </c>
      <c r="C61" s="1465" t="s">
        <v>117</v>
      </c>
      <c r="D61" s="1372"/>
      <c r="Z61" s="1757" t="s">
        <v>1963</v>
      </c>
      <c r="AA61" s="1757" t="s">
        <v>1964</v>
      </c>
    </row>
    <row r="62" spans="1:27" ht="12.75" x14ac:dyDescent="0.2">
      <c r="A62" s="1372"/>
      <c r="B62" s="1385" t="s">
        <v>810</v>
      </c>
      <c r="C62" s="1465" t="s">
        <v>117</v>
      </c>
      <c r="D62" s="1372"/>
      <c r="Z62" s="1758" t="s">
        <v>403</v>
      </c>
      <c r="AA62" s="1758" t="s">
        <v>1962</v>
      </c>
    </row>
    <row r="63" spans="1:27" ht="12.75" x14ac:dyDescent="0.2">
      <c r="A63" s="1372"/>
      <c r="B63" s="1385" t="s">
        <v>1796</v>
      </c>
      <c r="C63" s="1465" t="s">
        <v>117</v>
      </c>
      <c r="D63" s="1372"/>
      <c r="Z63" s="1758" t="s">
        <v>781</v>
      </c>
      <c r="AA63" s="1758" t="s">
        <v>1600</v>
      </c>
    </row>
    <row r="64" spans="1:27" ht="12.75" x14ac:dyDescent="0.2">
      <c r="A64" s="1372"/>
      <c r="B64" s="1385" t="s">
        <v>1669</v>
      </c>
      <c r="C64" s="1466" t="s">
        <v>117</v>
      </c>
      <c r="D64" s="1372"/>
    </row>
    <row r="65" spans="1:26" ht="12.75" x14ac:dyDescent="0.2">
      <c r="A65" s="1372"/>
      <c r="B65" s="1385" t="s">
        <v>811</v>
      </c>
      <c r="C65" s="1465" t="s">
        <v>117</v>
      </c>
      <c r="D65" s="1372"/>
    </row>
    <row r="66" spans="1:26" ht="12.75" x14ac:dyDescent="0.2">
      <c r="A66" s="1372"/>
      <c r="B66" s="1385" t="s">
        <v>812</v>
      </c>
      <c r="C66" s="1465" t="s">
        <v>117</v>
      </c>
      <c r="D66" s="1372"/>
      <c r="Z66" s="1026" t="s">
        <v>2147</v>
      </c>
    </row>
    <row r="67" spans="1:26" ht="12.75" x14ac:dyDescent="0.2">
      <c r="A67" s="1372"/>
      <c r="B67" s="1385" t="s">
        <v>813</v>
      </c>
      <c r="C67" s="1465" t="s">
        <v>117</v>
      </c>
      <c r="D67" s="1372"/>
      <c r="Z67" s="2" t="s">
        <v>403</v>
      </c>
    </row>
    <row r="68" spans="1:26" ht="12.75" x14ac:dyDescent="0.2">
      <c r="A68" s="1372"/>
      <c r="B68" s="1385" t="s">
        <v>814</v>
      </c>
      <c r="C68" s="1465" t="s">
        <v>117</v>
      </c>
      <c r="D68" s="1372"/>
      <c r="Z68" s="2" t="s">
        <v>781</v>
      </c>
    </row>
    <row r="69" spans="1:26" ht="12.75" x14ac:dyDescent="0.2">
      <c r="A69" s="1372"/>
      <c r="B69" s="1385" t="s">
        <v>1655</v>
      </c>
      <c r="C69" s="1465" t="s">
        <v>117</v>
      </c>
      <c r="D69" s="1372"/>
    </row>
    <row r="70" spans="1:26" ht="12.75" x14ac:dyDescent="0.2">
      <c r="A70" s="1372"/>
      <c r="B70" s="1385" t="s">
        <v>1670</v>
      </c>
      <c r="C70" s="1465" t="s">
        <v>117</v>
      </c>
      <c r="D70" s="1372"/>
    </row>
    <row r="71" spans="1:26" ht="12.75" x14ac:dyDescent="0.2">
      <c r="A71" s="1372"/>
      <c r="B71" s="1385" t="s">
        <v>1671</v>
      </c>
      <c r="C71" s="1465" t="s">
        <v>117</v>
      </c>
      <c r="D71" s="1372"/>
    </row>
    <row r="72" spans="1:26" ht="12.75" x14ac:dyDescent="0.2">
      <c r="A72" s="1372"/>
      <c r="B72" s="1385" t="s">
        <v>1862</v>
      </c>
      <c r="C72" s="1465" t="s">
        <v>117</v>
      </c>
      <c r="D72" s="1372"/>
    </row>
    <row r="73" spans="1:26" ht="12.75" x14ac:dyDescent="0.2">
      <c r="A73" s="1372"/>
      <c r="B73" s="1385" t="s">
        <v>1863</v>
      </c>
      <c r="C73" s="1465" t="s">
        <v>117</v>
      </c>
      <c r="D73" s="1372"/>
    </row>
    <row r="74" spans="1:26" ht="12.75" x14ac:dyDescent="0.2">
      <c r="A74" s="1372"/>
      <c r="B74" s="1385" t="s">
        <v>465</v>
      </c>
      <c r="C74" s="1465" t="s">
        <v>117</v>
      </c>
      <c r="D74" s="1372"/>
    </row>
    <row r="75" spans="1:26" ht="12.75" x14ac:dyDescent="0.2">
      <c r="A75" s="1372"/>
      <c r="B75" s="1385" t="s">
        <v>2151</v>
      </c>
      <c r="C75" s="1465" t="s">
        <v>1657</v>
      </c>
      <c r="D75" s="1372"/>
    </row>
    <row r="76" spans="1:26" ht="12.75" x14ac:dyDescent="0.2">
      <c r="A76" s="1372"/>
      <c r="B76" s="1385" t="s">
        <v>815</v>
      </c>
      <c r="C76" s="1465" t="s">
        <v>1657</v>
      </c>
      <c r="D76" s="1372"/>
    </row>
    <row r="77" spans="1:26" ht="12.75" x14ac:dyDescent="0.2">
      <c r="A77" s="1372"/>
      <c r="B77" s="1385" t="s">
        <v>816</v>
      </c>
      <c r="C77" s="1465" t="s">
        <v>1657</v>
      </c>
      <c r="D77" s="1372"/>
    </row>
    <row r="78" spans="1:26" ht="12.75" x14ac:dyDescent="0.2">
      <c r="A78" s="1372"/>
      <c r="B78" s="1385" t="s">
        <v>817</v>
      </c>
      <c r="C78" s="1465" t="s">
        <v>1657</v>
      </c>
      <c r="D78" s="1372"/>
    </row>
    <row r="79" spans="1:26" ht="12.75" x14ac:dyDescent="0.2">
      <c r="A79" s="1372"/>
      <c r="B79" s="1385" t="s">
        <v>1864</v>
      </c>
      <c r="C79" s="1465" t="s">
        <v>1657</v>
      </c>
      <c r="D79" s="1372"/>
    </row>
    <row r="80" spans="1:26" ht="12.75" x14ac:dyDescent="0.2">
      <c r="A80" s="1372"/>
      <c r="B80" s="1385" t="s">
        <v>1656</v>
      </c>
      <c r="C80" s="1465" t="s">
        <v>1657</v>
      </c>
      <c r="D80" s="1372"/>
    </row>
    <row r="81" spans="1:4" ht="12.75" x14ac:dyDescent="0.2">
      <c r="A81" s="1372"/>
      <c r="B81" s="1385" t="s">
        <v>818</v>
      </c>
      <c r="C81" s="1465" t="s">
        <v>1657</v>
      </c>
      <c r="D81" s="1372"/>
    </row>
    <row r="82" spans="1:4" ht="12.75" x14ac:dyDescent="0.2">
      <c r="A82" s="1372"/>
      <c r="B82" s="1385" t="s">
        <v>819</v>
      </c>
      <c r="C82" s="1465" t="s">
        <v>1657</v>
      </c>
      <c r="D82" s="1372"/>
    </row>
    <row r="83" spans="1:4" ht="12.75" x14ac:dyDescent="0.2">
      <c r="A83" s="1372"/>
      <c r="B83" s="1385" t="s">
        <v>820</v>
      </c>
      <c r="C83" s="1465" t="s">
        <v>1657</v>
      </c>
      <c r="D83" s="1372"/>
    </row>
    <row r="84" spans="1:4" ht="12.75" x14ac:dyDescent="0.2">
      <c r="A84" s="1372"/>
      <c r="B84" s="1385" t="s">
        <v>821</v>
      </c>
      <c r="C84" s="1465" t="s">
        <v>1657</v>
      </c>
      <c r="D84" s="1372"/>
    </row>
    <row r="85" spans="1:4" ht="12.75" x14ac:dyDescent="0.2">
      <c r="A85" s="1372"/>
      <c r="B85" s="1385" t="s">
        <v>822</v>
      </c>
      <c r="C85" s="1465" t="s">
        <v>1657</v>
      </c>
      <c r="D85" s="1372"/>
    </row>
    <row r="86" spans="1:4" ht="12.75" x14ac:dyDescent="0.2">
      <c r="A86" s="1372"/>
      <c r="B86" s="1385" t="s">
        <v>1660</v>
      </c>
      <c r="C86" s="1465" t="s">
        <v>1657</v>
      </c>
      <c r="D86" s="1372"/>
    </row>
    <row r="87" spans="1:4" ht="12.75" x14ac:dyDescent="0.2">
      <c r="A87" s="1372"/>
      <c r="B87" s="1385" t="s">
        <v>823</v>
      </c>
      <c r="C87" s="1465" t="s">
        <v>1657</v>
      </c>
      <c r="D87" s="1372"/>
    </row>
    <row r="88" spans="1:4" ht="12.75" x14ac:dyDescent="0.2">
      <c r="A88" s="1372"/>
      <c r="B88" s="1385" t="s">
        <v>824</v>
      </c>
      <c r="C88" s="1465" t="s">
        <v>1657</v>
      </c>
      <c r="D88" s="1372"/>
    </row>
    <row r="89" spans="1:4" ht="12.75" x14ac:dyDescent="0.2">
      <c r="A89" s="1372"/>
      <c r="B89" s="1385" t="s">
        <v>825</v>
      </c>
      <c r="C89" s="1465" t="s">
        <v>1657</v>
      </c>
      <c r="D89" s="1372"/>
    </row>
    <row r="90" spans="1:4" ht="12.75" x14ac:dyDescent="0.2">
      <c r="A90" s="1372"/>
      <c r="B90" s="1385" t="s">
        <v>1672</v>
      </c>
      <c r="C90" s="1465" t="s">
        <v>1657</v>
      </c>
      <c r="D90" s="1372"/>
    </row>
    <row r="91" spans="1:4" ht="12.75" x14ac:dyDescent="0.2">
      <c r="A91" s="1372"/>
      <c r="B91" s="1385" t="s">
        <v>826</v>
      </c>
      <c r="C91" s="1465" t="s">
        <v>1657</v>
      </c>
      <c r="D91" s="1372"/>
    </row>
    <row r="92" spans="1:4" ht="12.75" x14ac:dyDescent="0.2">
      <c r="A92" s="1372"/>
      <c r="B92" s="1385" t="s">
        <v>1865</v>
      </c>
      <c r="C92" s="1465" t="s">
        <v>1657</v>
      </c>
      <c r="D92" s="1372"/>
    </row>
    <row r="93" spans="1:4" ht="12.75" x14ac:dyDescent="0.2">
      <c r="A93" s="1372"/>
      <c r="B93" s="1385" t="s">
        <v>1662</v>
      </c>
      <c r="C93" s="1465" t="s">
        <v>1657</v>
      </c>
      <c r="D93" s="1372"/>
    </row>
    <row r="94" spans="1:4" ht="12.75" x14ac:dyDescent="0.2">
      <c r="A94" s="1372"/>
      <c r="B94" s="1385" t="s">
        <v>827</v>
      </c>
      <c r="C94" s="1465" t="s">
        <v>1657</v>
      </c>
      <c r="D94" s="1372"/>
    </row>
    <row r="95" spans="1:4" ht="12.75" x14ac:dyDescent="0.2">
      <c r="A95" s="1372"/>
      <c r="B95" s="1385" t="s">
        <v>828</v>
      </c>
      <c r="C95" s="1465" t="s">
        <v>1657</v>
      </c>
      <c r="D95" s="1372"/>
    </row>
    <row r="96" spans="1:4" ht="12.75" x14ac:dyDescent="0.2">
      <c r="A96" s="1372"/>
      <c r="B96" s="1385" t="s">
        <v>855</v>
      </c>
      <c r="C96" s="1465" t="s">
        <v>1657</v>
      </c>
      <c r="D96" s="1372"/>
    </row>
    <row r="97" spans="1:4" ht="12.75" x14ac:dyDescent="0.2">
      <c r="A97" s="1372"/>
      <c r="B97" s="1385" t="s">
        <v>856</v>
      </c>
      <c r="C97" s="1465" t="s">
        <v>1657</v>
      </c>
      <c r="D97" s="1372"/>
    </row>
    <row r="98" spans="1:4" ht="12.75" x14ac:dyDescent="0.2">
      <c r="A98" s="1372"/>
      <c r="B98" s="1385" t="s">
        <v>1665</v>
      </c>
      <c r="C98" s="1465" t="s">
        <v>1657</v>
      </c>
      <c r="D98" s="1372"/>
    </row>
    <row r="99" spans="1:4" ht="12.75" x14ac:dyDescent="0.2">
      <c r="A99" s="1372"/>
      <c r="B99" s="1385" t="s">
        <v>2152</v>
      </c>
      <c r="C99" s="1465" t="s">
        <v>1130</v>
      </c>
      <c r="D99" s="1372"/>
    </row>
    <row r="100" spans="1:4" ht="12.75" x14ac:dyDescent="0.2">
      <c r="A100" s="1372"/>
      <c r="B100" s="1385" t="s">
        <v>2153</v>
      </c>
      <c r="C100" s="1465" t="s">
        <v>1130</v>
      </c>
      <c r="D100" s="1372"/>
    </row>
    <row r="101" spans="1:4" ht="12.75" x14ac:dyDescent="0.2">
      <c r="A101" s="1372"/>
      <c r="B101" s="1385" t="s">
        <v>2154</v>
      </c>
      <c r="C101" s="1465" t="s">
        <v>1130</v>
      </c>
      <c r="D101" s="1372"/>
    </row>
    <row r="102" spans="1:4" ht="12.75" x14ac:dyDescent="0.2">
      <c r="A102" s="1372"/>
      <c r="B102" s="1385" t="s">
        <v>857</v>
      </c>
      <c r="C102" s="1465" t="s">
        <v>1130</v>
      </c>
      <c r="D102" s="1372"/>
    </row>
    <row r="103" spans="1:4" ht="12.75" x14ac:dyDescent="0.2">
      <c r="A103" s="1372"/>
      <c r="B103" s="1385" t="s">
        <v>858</v>
      </c>
      <c r="C103" s="1465" t="s">
        <v>1130</v>
      </c>
      <c r="D103" s="1372"/>
    </row>
    <row r="104" spans="1:4" ht="12.75" x14ac:dyDescent="0.2">
      <c r="A104" s="1372"/>
      <c r="B104" s="1385" t="s">
        <v>243</v>
      </c>
      <c r="C104" s="1465" t="s">
        <v>1130</v>
      </c>
      <c r="D104" s="1372"/>
    </row>
    <row r="105" spans="1:4" ht="12.75" x14ac:dyDescent="0.2">
      <c r="A105" s="1372"/>
      <c r="B105" s="1385" t="s">
        <v>1129</v>
      </c>
      <c r="C105" s="1465" t="s">
        <v>1130</v>
      </c>
      <c r="D105" s="1372"/>
    </row>
    <row r="106" spans="1:4" ht="12.75" x14ac:dyDescent="0.2">
      <c r="A106" s="1372"/>
      <c r="B106" s="1385" t="s">
        <v>788</v>
      </c>
      <c r="C106" s="1465" t="s">
        <v>1130</v>
      </c>
      <c r="D106" s="1372"/>
    </row>
    <row r="107" spans="1:4" ht="12.75" x14ac:dyDescent="0.2">
      <c r="A107" s="1372"/>
      <c r="B107" s="1385" t="s">
        <v>789</v>
      </c>
      <c r="C107" s="1465" t="s">
        <v>1130</v>
      </c>
      <c r="D107" s="1372"/>
    </row>
    <row r="108" spans="1:4" ht="12.75" x14ac:dyDescent="0.2">
      <c r="A108" s="1372"/>
      <c r="B108" s="1385" t="s">
        <v>790</v>
      </c>
      <c r="C108" s="1465" t="s">
        <v>1130</v>
      </c>
      <c r="D108" s="1372"/>
    </row>
    <row r="109" spans="1:4" ht="12.75" x14ac:dyDescent="0.2">
      <c r="A109" s="1372"/>
      <c r="B109" s="1385" t="s">
        <v>1800</v>
      </c>
      <c r="C109" s="1465" t="s">
        <v>1130</v>
      </c>
      <c r="D109" s="1372"/>
    </row>
    <row r="110" spans="1:4" ht="12.75" x14ac:dyDescent="0.2">
      <c r="A110" s="1372"/>
      <c r="B110" s="1385" t="s">
        <v>1131</v>
      </c>
      <c r="C110" s="1465" t="s">
        <v>1130</v>
      </c>
      <c r="D110" s="1372"/>
    </row>
    <row r="111" spans="1:4" ht="12.75" x14ac:dyDescent="0.2">
      <c r="A111" s="1372"/>
      <c r="B111" s="1385" t="s">
        <v>2155</v>
      </c>
      <c r="C111" s="1465" t="s">
        <v>1797</v>
      </c>
      <c r="D111" s="1372"/>
    </row>
    <row r="112" spans="1:4" ht="12.75" x14ac:dyDescent="0.2">
      <c r="A112" s="1372"/>
      <c r="B112" s="1385" t="s">
        <v>1673</v>
      </c>
      <c r="C112" s="1465" t="s">
        <v>1797</v>
      </c>
      <c r="D112" s="1372"/>
    </row>
    <row r="113" spans="1:4" ht="12.75" x14ac:dyDescent="0.2">
      <c r="A113" s="1372"/>
      <c r="B113" s="1385" t="s">
        <v>1674</v>
      </c>
      <c r="C113" s="1299" t="s">
        <v>1797</v>
      </c>
      <c r="D113" s="1372"/>
    </row>
    <row r="114" spans="1:4" ht="12.75" x14ac:dyDescent="0.2">
      <c r="A114" s="1372"/>
      <c r="B114" s="1385" t="s">
        <v>1675</v>
      </c>
      <c r="C114" s="1299" t="s">
        <v>1797</v>
      </c>
      <c r="D114" s="1372"/>
    </row>
    <row r="115" spans="1:4" ht="12.75" x14ac:dyDescent="0.2">
      <c r="A115" s="1372"/>
      <c r="B115" s="1385" t="s">
        <v>1676</v>
      </c>
      <c r="C115" s="1299" t="s">
        <v>1797</v>
      </c>
      <c r="D115" s="1372"/>
    </row>
    <row r="116" spans="1:4" ht="12.75" x14ac:dyDescent="0.2">
      <c r="A116" s="1372"/>
      <c r="B116" s="1385" t="s">
        <v>1801</v>
      </c>
      <c r="C116" s="1299" t="s">
        <v>1797</v>
      </c>
      <c r="D116" s="1372"/>
    </row>
    <row r="117" spans="1:4" ht="12.75" x14ac:dyDescent="0.2">
      <c r="A117" s="1372"/>
      <c r="B117" s="1385" t="s">
        <v>1677</v>
      </c>
      <c r="C117" s="1299" t="s">
        <v>1797</v>
      </c>
      <c r="D117" s="1372"/>
    </row>
    <row r="118" spans="1:4" ht="12.75" x14ac:dyDescent="0.2">
      <c r="A118" s="1372"/>
      <c r="B118" s="1385" t="s">
        <v>1086</v>
      </c>
      <c r="C118" s="1299" t="s">
        <v>1797</v>
      </c>
      <c r="D118" s="1372"/>
    </row>
    <row r="119" spans="1:4" ht="12.75" x14ac:dyDescent="0.2">
      <c r="A119" s="1372"/>
      <c r="B119" s="1385" t="s">
        <v>1678</v>
      </c>
      <c r="C119" s="1299" t="s">
        <v>1797</v>
      </c>
      <c r="D119" s="1372"/>
    </row>
    <row r="120" spans="1:4" ht="12.75" x14ac:dyDescent="0.2">
      <c r="A120" s="1372"/>
      <c r="B120" s="1385" t="s">
        <v>1679</v>
      </c>
      <c r="C120" s="1299" t="s">
        <v>1797</v>
      </c>
      <c r="D120" s="1372"/>
    </row>
    <row r="121" spans="1:4" ht="12.75" x14ac:dyDescent="0.2">
      <c r="A121" s="1372"/>
      <c r="B121" s="1385" t="s">
        <v>1680</v>
      </c>
      <c r="C121" s="1299" t="s">
        <v>1797</v>
      </c>
      <c r="D121" s="1372"/>
    </row>
    <row r="122" spans="1:4" ht="12.75" x14ac:dyDescent="0.2">
      <c r="A122" s="1372"/>
      <c r="B122" s="1385" t="s">
        <v>1681</v>
      </c>
      <c r="C122" s="1299" t="s">
        <v>1797</v>
      </c>
      <c r="D122" s="1372"/>
    </row>
    <row r="123" spans="1:4" ht="12.75" x14ac:dyDescent="0.2">
      <c r="A123" s="1372"/>
      <c r="B123" s="1385" t="s">
        <v>1682</v>
      </c>
      <c r="C123" s="1299" t="s">
        <v>1797</v>
      </c>
      <c r="D123" s="1372"/>
    </row>
    <row r="124" spans="1:4" ht="12.75" x14ac:dyDescent="0.2">
      <c r="A124" s="1372"/>
      <c r="B124" s="1385" t="s">
        <v>1683</v>
      </c>
      <c r="C124" s="1299" t="s">
        <v>1797</v>
      </c>
      <c r="D124" s="1372"/>
    </row>
    <row r="125" spans="1:4" ht="12.75" x14ac:dyDescent="0.2">
      <c r="A125" s="1372"/>
      <c r="B125" s="1385" t="s">
        <v>1684</v>
      </c>
      <c r="C125" s="1299" t="s">
        <v>1797</v>
      </c>
      <c r="D125" s="1372"/>
    </row>
    <row r="126" spans="1:4" ht="12.75" x14ac:dyDescent="0.2">
      <c r="A126" s="1372"/>
      <c r="B126" s="1385" t="s">
        <v>1088</v>
      </c>
      <c r="C126" s="1299" t="s">
        <v>1797</v>
      </c>
      <c r="D126" s="1372"/>
    </row>
    <row r="127" spans="1:4" ht="12.75" x14ac:dyDescent="0.2">
      <c r="A127" s="1372"/>
      <c r="B127" s="1385" t="s">
        <v>1685</v>
      </c>
      <c r="C127" s="1299" t="s">
        <v>1797</v>
      </c>
      <c r="D127" s="1372"/>
    </row>
    <row r="128" spans="1:4" ht="12.75" x14ac:dyDescent="0.2">
      <c r="A128" s="1372"/>
      <c r="B128" s="1385" t="s">
        <v>1686</v>
      </c>
      <c r="C128" s="1299" t="s">
        <v>1797</v>
      </c>
      <c r="D128" s="1372"/>
    </row>
    <row r="129" spans="1:4" ht="12.75" x14ac:dyDescent="0.2">
      <c r="A129" s="1372"/>
      <c r="B129" s="1385" t="s">
        <v>1687</v>
      </c>
      <c r="C129" s="1299" t="s">
        <v>1797</v>
      </c>
      <c r="D129" s="1372"/>
    </row>
    <row r="130" spans="1:4" ht="12.75" x14ac:dyDescent="0.2">
      <c r="A130" s="1372"/>
      <c r="B130" s="1385" t="s">
        <v>1688</v>
      </c>
      <c r="C130" s="1299" t="s">
        <v>1797</v>
      </c>
      <c r="D130" s="1372"/>
    </row>
    <row r="131" spans="1:4" ht="12.75" x14ac:dyDescent="0.2">
      <c r="A131" s="1372"/>
      <c r="B131" s="1385" t="s">
        <v>1689</v>
      </c>
      <c r="C131" s="1299" t="s">
        <v>1797</v>
      </c>
      <c r="D131" s="1372"/>
    </row>
    <row r="132" spans="1:4" ht="12.75" x14ac:dyDescent="0.2">
      <c r="A132" s="1372"/>
      <c r="B132" s="1385" t="s">
        <v>1090</v>
      </c>
      <c r="C132" s="1299" t="s">
        <v>1797</v>
      </c>
      <c r="D132" s="1372"/>
    </row>
    <row r="133" spans="1:4" ht="12.75" x14ac:dyDescent="0.2">
      <c r="A133" s="1372"/>
      <c r="B133" s="1385" t="s">
        <v>1690</v>
      </c>
      <c r="C133" s="1465" t="s">
        <v>1797</v>
      </c>
      <c r="D133" s="1372"/>
    </row>
    <row r="134" spans="1:4" ht="12.75" x14ac:dyDescent="0.2">
      <c r="A134" s="1372"/>
      <c r="B134" s="1385" t="s">
        <v>1691</v>
      </c>
      <c r="C134" s="1465" t="s">
        <v>1797</v>
      </c>
      <c r="D134" s="1372"/>
    </row>
    <row r="135" spans="1:4" ht="12.75" x14ac:dyDescent="0.2">
      <c r="A135" s="1372"/>
      <c r="B135" s="1385" t="s">
        <v>1692</v>
      </c>
      <c r="C135" s="1465" t="s">
        <v>1797</v>
      </c>
      <c r="D135" s="1372"/>
    </row>
    <row r="136" spans="1:4" ht="12.75" x14ac:dyDescent="0.2">
      <c r="A136" s="1372"/>
      <c r="B136" s="1385" t="s">
        <v>1693</v>
      </c>
      <c r="C136" s="1465" t="s">
        <v>1797</v>
      </c>
      <c r="D136" s="1372"/>
    </row>
    <row r="137" spans="1:4" ht="12.75" x14ac:dyDescent="0.2">
      <c r="A137" s="1372"/>
      <c r="B137" s="1385" t="s">
        <v>1091</v>
      </c>
      <c r="C137" s="1465" t="s">
        <v>1797</v>
      </c>
      <c r="D137" s="1372"/>
    </row>
    <row r="138" spans="1:4" ht="12.75" x14ac:dyDescent="0.2">
      <c r="A138" s="1372"/>
      <c r="B138" s="1385" t="s">
        <v>1694</v>
      </c>
      <c r="C138" s="1465" t="s">
        <v>1797</v>
      </c>
      <c r="D138" s="1372"/>
    </row>
    <row r="139" spans="1:4" ht="12.75" x14ac:dyDescent="0.2">
      <c r="A139" s="1372"/>
      <c r="B139" s="1385" t="s">
        <v>1695</v>
      </c>
      <c r="C139" s="1465" t="s">
        <v>1797</v>
      </c>
      <c r="D139" s="1372"/>
    </row>
    <row r="140" spans="1:4" ht="12.75" x14ac:dyDescent="0.2">
      <c r="A140" s="1372"/>
      <c r="B140" s="1385" t="s">
        <v>1696</v>
      </c>
      <c r="C140" s="1465" t="s">
        <v>1797</v>
      </c>
      <c r="D140" s="1372"/>
    </row>
    <row r="141" spans="1:4" ht="12.75" x14ac:dyDescent="0.2">
      <c r="A141" s="1372"/>
      <c r="B141" s="1385" t="s">
        <v>1092</v>
      </c>
      <c r="C141" s="1465" t="s">
        <v>1797</v>
      </c>
      <c r="D141" s="1372"/>
    </row>
    <row r="142" spans="1:4" ht="12.75" x14ac:dyDescent="0.2">
      <c r="A142" s="1372"/>
      <c r="B142" s="1385" t="s">
        <v>1697</v>
      </c>
      <c r="C142" s="1465" t="s">
        <v>1797</v>
      </c>
      <c r="D142" s="1372"/>
    </row>
    <row r="143" spans="1:4" ht="12.75" x14ac:dyDescent="0.2">
      <c r="A143" s="1372"/>
      <c r="B143" s="1385" t="s">
        <v>1698</v>
      </c>
      <c r="C143" s="1466" t="s">
        <v>1797</v>
      </c>
      <c r="D143" s="1372"/>
    </row>
    <row r="144" spans="1:4" ht="12.75" x14ac:dyDescent="0.2">
      <c r="A144" s="1372"/>
      <c r="B144" s="1385" t="s">
        <v>46</v>
      </c>
      <c r="C144" s="1466" t="s">
        <v>1797</v>
      </c>
      <c r="D144" s="1372"/>
    </row>
    <row r="145" spans="1:4" ht="12.75" x14ac:dyDescent="0.2">
      <c r="A145" s="1372"/>
      <c r="B145" s="1385" t="s">
        <v>47</v>
      </c>
      <c r="C145" s="1466" t="s">
        <v>1797</v>
      </c>
      <c r="D145" s="1372"/>
    </row>
    <row r="146" spans="1:4" ht="12.75" x14ac:dyDescent="0.2">
      <c r="A146" s="1372"/>
      <c r="B146" s="1385" t="s">
        <v>48</v>
      </c>
      <c r="C146" s="1466" t="s">
        <v>1797</v>
      </c>
      <c r="D146" s="1372"/>
    </row>
    <row r="147" spans="1:4" ht="12.75" x14ac:dyDescent="0.2">
      <c r="A147" s="1372"/>
      <c r="B147" s="1385" t="s">
        <v>1094</v>
      </c>
      <c r="C147" s="1466" t="s">
        <v>1797</v>
      </c>
      <c r="D147" s="1372"/>
    </row>
    <row r="148" spans="1:4" ht="12.75" x14ac:dyDescent="0.2">
      <c r="A148" s="1372"/>
      <c r="B148" s="1385" t="s">
        <v>49</v>
      </c>
      <c r="C148" s="1466" t="s">
        <v>1797</v>
      </c>
      <c r="D148" s="1372"/>
    </row>
    <row r="149" spans="1:4" ht="12.75" x14ac:dyDescent="0.2">
      <c r="A149" s="1372"/>
      <c r="B149" s="1385" t="s">
        <v>50</v>
      </c>
      <c r="C149" s="1466" t="s">
        <v>1797</v>
      </c>
      <c r="D149" s="1372"/>
    </row>
    <row r="150" spans="1:4" ht="12.75" x14ac:dyDescent="0.2">
      <c r="A150" s="1372"/>
      <c r="B150" s="1385" t="s">
        <v>1802</v>
      </c>
      <c r="C150" s="1466" t="s">
        <v>1797</v>
      </c>
      <c r="D150" s="1372"/>
    </row>
    <row r="151" spans="1:4" ht="12.75" x14ac:dyDescent="0.2">
      <c r="A151" s="1372"/>
      <c r="B151" s="1385" t="s">
        <v>51</v>
      </c>
      <c r="C151" s="1466" t="s">
        <v>1797</v>
      </c>
      <c r="D151" s="1372"/>
    </row>
    <row r="152" spans="1:4" ht="12.75" x14ac:dyDescent="0.2">
      <c r="A152" s="1372"/>
      <c r="B152" s="1385" t="s">
        <v>52</v>
      </c>
      <c r="C152" s="1466" t="s">
        <v>1797</v>
      </c>
      <c r="D152" s="1372"/>
    </row>
    <row r="153" spans="1:4" ht="12.75" x14ac:dyDescent="0.2">
      <c r="A153" s="1372"/>
      <c r="B153" s="1385" t="s">
        <v>1096</v>
      </c>
      <c r="C153" s="1466" t="s">
        <v>1797</v>
      </c>
      <c r="D153" s="1372"/>
    </row>
    <row r="154" spans="1:4" ht="12.75" x14ac:dyDescent="0.2">
      <c r="A154" s="1372"/>
      <c r="B154" s="1385" t="s">
        <v>1803</v>
      </c>
      <c r="C154" s="1466" t="s">
        <v>1797</v>
      </c>
      <c r="D154" s="1372"/>
    </row>
    <row r="155" spans="1:4" ht="12.75" x14ac:dyDescent="0.2">
      <c r="A155" s="1372"/>
      <c r="B155" s="1385" t="s">
        <v>53</v>
      </c>
      <c r="C155" s="1466" t="s">
        <v>1797</v>
      </c>
      <c r="D155" s="1372"/>
    </row>
    <row r="156" spans="1:4" ht="12.75" x14ac:dyDescent="0.2">
      <c r="A156" s="1372"/>
      <c r="B156" s="1385" t="s">
        <v>54</v>
      </c>
      <c r="C156" s="1466" t="s">
        <v>1797</v>
      </c>
      <c r="D156" s="1372"/>
    </row>
    <row r="157" spans="1:4" ht="12.75" x14ac:dyDescent="0.2">
      <c r="A157" s="1372"/>
      <c r="B157" s="1385" t="s">
        <v>1804</v>
      </c>
      <c r="C157" s="1466" t="s">
        <v>1797</v>
      </c>
      <c r="D157" s="1372"/>
    </row>
    <row r="158" spans="1:4" ht="12.75" x14ac:dyDescent="0.2">
      <c r="A158" s="1372"/>
      <c r="B158" s="1385" t="s">
        <v>55</v>
      </c>
      <c r="C158" s="1466" t="s">
        <v>1797</v>
      </c>
      <c r="D158" s="1372"/>
    </row>
    <row r="159" spans="1:4" ht="12.75" x14ac:dyDescent="0.2">
      <c r="A159" s="1372"/>
      <c r="B159" s="1385" t="s">
        <v>56</v>
      </c>
      <c r="C159" s="1466" t="s">
        <v>1797</v>
      </c>
      <c r="D159" s="1372"/>
    </row>
    <row r="160" spans="1:4" ht="12.75" x14ac:dyDescent="0.2">
      <c r="A160" s="1372"/>
      <c r="B160" s="1385" t="s">
        <v>1098</v>
      </c>
      <c r="C160" s="1466" t="s">
        <v>1797</v>
      </c>
      <c r="D160" s="1372"/>
    </row>
    <row r="161" spans="1:4" ht="12.75" x14ac:dyDescent="0.2">
      <c r="A161" s="1372"/>
      <c r="B161" s="1385" t="s">
        <v>57</v>
      </c>
      <c r="C161" s="1466" t="s">
        <v>1797</v>
      </c>
      <c r="D161" s="1372"/>
    </row>
    <row r="162" spans="1:4" ht="12.75" x14ac:dyDescent="0.2">
      <c r="A162" s="1372"/>
      <c r="B162" s="1385" t="s">
        <v>58</v>
      </c>
      <c r="C162" s="1466" t="s">
        <v>1797</v>
      </c>
      <c r="D162" s="1372"/>
    </row>
    <row r="163" spans="1:4" ht="12.75" x14ac:dyDescent="0.2">
      <c r="A163" s="1372"/>
      <c r="B163" s="1385" t="s">
        <v>59</v>
      </c>
      <c r="C163" s="1466" t="s">
        <v>1797</v>
      </c>
      <c r="D163" s="1372"/>
    </row>
    <row r="164" spans="1:4" ht="12.75" x14ac:dyDescent="0.2">
      <c r="A164" s="1372"/>
      <c r="B164" s="1385" t="s">
        <v>60</v>
      </c>
      <c r="C164" s="1466" t="s">
        <v>1797</v>
      </c>
      <c r="D164" s="1372"/>
    </row>
    <row r="165" spans="1:4" ht="12.75" x14ac:dyDescent="0.2">
      <c r="A165" s="1372"/>
      <c r="B165" s="1385" t="s">
        <v>1102</v>
      </c>
      <c r="C165" s="1466" t="s">
        <v>1797</v>
      </c>
      <c r="D165" s="1372"/>
    </row>
    <row r="166" spans="1:4" ht="12.75" x14ac:dyDescent="0.2">
      <c r="A166" s="1372"/>
      <c r="B166" s="1385" t="s">
        <v>61</v>
      </c>
      <c r="C166" s="1466" t="s">
        <v>1797</v>
      </c>
      <c r="D166" s="1372"/>
    </row>
    <row r="167" spans="1:4" ht="12.75" x14ac:dyDescent="0.2">
      <c r="A167" s="1372"/>
      <c r="B167" s="1385" t="s">
        <v>62</v>
      </c>
      <c r="C167" s="1466" t="s">
        <v>1797</v>
      </c>
      <c r="D167" s="1372"/>
    </row>
    <row r="168" spans="1:4" ht="12.75" x14ac:dyDescent="0.2">
      <c r="A168" s="1372"/>
      <c r="B168" s="1385" t="s">
        <v>63</v>
      </c>
      <c r="C168" s="1466" t="s">
        <v>1797</v>
      </c>
      <c r="D168" s="1372"/>
    </row>
    <row r="169" spans="1:4" ht="12.75" x14ac:dyDescent="0.2">
      <c r="A169" s="1372"/>
      <c r="B169" s="1385" t="s">
        <v>64</v>
      </c>
      <c r="C169" s="1466" t="s">
        <v>1797</v>
      </c>
      <c r="D169" s="1372"/>
    </row>
    <row r="170" spans="1:4" ht="12.75" x14ac:dyDescent="0.2">
      <c r="A170" s="1372"/>
      <c r="B170" s="1385" t="s">
        <v>65</v>
      </c>
      <c r="C170" s="1466" t="s">
        <v>1797</v>
      </c>
      <c r="D170" s="1372"/>
    </row>
    <row r="171" spans="1:4" ht="12.75" x14ac:dyDescent="0.2">
      <c r="A171" s="1372"/>
      <c r="B171" s="1385" t="s">
        <v>2184</v>
      </c>
      <c r="C171" s="1466" t="s">
        <v>1797</v>
      </c>
      <c r="D171" s="1372"/>
    </row>
    <row r="172" spans="1:4" ht="12.75" x14ac:dyDescent="0.2">
      <c r="A172" s="1372"/>
      <c r="B172" s="1385" t="s">
        <v>66</v>
      </c>
      <c r="C172" s="1466" t="s">
        <v>2156</v>
      </c>
      <c r="D172" s="1372"/>
    </row>
    <row r="173" spans="1:4" ht="12.75" x14ac:dyDescent="0.2">
      <c r="A173" s="1372"/>
      <c r="B173" s="1385" t="s">
        <v>67</v>
      </c>
      <c r="C173" s="1466" t="s">
        <v>2156</v>
      </c>
      <c r="D173" s="1372"/>
    </row>
    <row r="174" spans="1:4" ht="12.75" x14ac:dyDescent="0.2">
      <c r="A174" s="1372"/>
      <c r="B174" s="1385" t="s">
        <v>68</v>
      </c>
      <c r="C174" s="1466" t="s">
        <v>2156</v>
      </c>
      <c r="D174" s="1372"/>
    </row>
    <row r="175" spans="1:4" ht="12.75" x14ac:dyDescent="0.2">
      <c r="A175" s="1372"/>
      <c r="B175" s="1385" t="s">
        <v>69</v>
      </c>
      <c r="C175" s="1466" t="s">
        <v>2156</v>
      </c>
      <c r="D175" s="1372"/>
    </row>
    <row r="176" spans="1:4" ht="12.75" x14ac:dyDescent="0.2">
      <c r="A176" s="1372"/>
      <c r="B176" s="1385" t="s">
        <v>70</v>
      </c>
      <c r="C176" s="1466" t="s">
        <v>2156</v>
      </c>
      <c r="D176" s="1372"/>
    </row>
    <row r="177" spans="1:4" ht="12.75" x14ac:dyDescent="0.2">
      <c r="A177" s="1372"/>
      <c r="B177" s="1385" t="s">
        <v>1111</v>
      </c>
      <c r="C177" s="1466" t="s">
        <v>2156</v>
      </c>
      <c r="D177" s="1372"/>
    </row>
    <row r="178" spans="1:4" ht="12.75" x14ac:dyDescent="0.2">
      <c r="A178" s="1372"/>
      <c r="B178" s="1385" t="s">
        <v>71</v>
      </c>
      <c r="C178" s="1466" t="s">
        <v>2156</v>
      </c>
      <c r="D178" s="1372"/>
    </row>
    <row r="179" spans="1:4" ht="12.75" x14ac:dyDescent="0.2">
      <c r="A179" s="1372"/>
      <c r="B179" s="1385" t="s">
        <v>72</v>
      </c>
      <c r="C179" s="1466" t="s">
        <v>2156</v>
      </c>
      <c r="D179" s="1372"/>
    </row>
    <row r="180" spans="1:4" ht="12.75" x14ac:dyDescent="0.2">
      <c r="A180" s="1372"/>
      <c r="B180" s="1385" t="s">
        <v>73</v>
      </c>
      <c r="C180" s="1466" t="s">
        <v>2156</v>
      </c>
      <c r="D180" s="1372"/>
    </row>
    <row r="181" spans="1:4" ht="12.75" x14ac:dyDescent="0.2">
      <c r="A181" s="1372"/>
      <c r="B181" s="1385" t="s">
        <v>74</v>
      </c>
      <c r="C181" s="1466" t="s">
        <v>2156</v>
      </c>
      <c r="D181" s="1372"/>
    </row>
    <row r="182" spans="1:4" ht="12.75" x14ac:dyDescent="0.2">
      <c r="A182" s="1372"/>
      <c r="B182" s="1385" t="s">
        <v>1114</v>
      </c>
      <c r="C182" s="1466" t="s">
        <v>2156</v>
      </c>
      <c r="D182" s="1372"/>
    </row>
    <row r="183" spans="1:4" ht="12.75" x14ac:dyDescent="0.2">
      <c r="A183" s="1372"/>
      <c r="B183" s="1385" t="s">
        <v>75</v>
      </c>
      <c r="C183" s="1466" t="s">
        <v>2156</v>
      </c>
      <c r="D183" s="1372"/>
    </row>
    <row r="184" spans="1:4" ht="12.75" x14ac:dyDescent="0.2">
      <c r="A184" s="1372"/>
      <c r="B184" s="1385" t="s">
        <v>76</v>
      </c>
      <c r="C184" s="1466" t="s">
        <v>2156</v>
      </c>
      <c r="D184" s="1372"/>
    </row>
    <row r="185" spans="1:4" ht="12.75" x14ac:dyDescent="0.2">
      <c r="A185" s="1372"/>
      <c r="B185" s="1385" t="s">
        <v>77</v>
      </c>
      <c r="C185" s="1466" t="s">
        <v>2156</v>
      </c>
      <c r="D185" s="1372"/>
    </row>
    <row r="186" spans="1:4" ht="12.75" x14ac:dyDescent="0.2">
      <c r="A186" s="1372"/>
      <c r="B186" s="1385" t="s">
        <v>78</v>
      </c>
      <c r="C186" s="1466" t="s">
        <v>2156</v>
      </c>
      <c r="D186" s="1372"/>
    </row>
    <row r="187" spans="1:4" ht="12.75" x14ac:dyDescent="0.2">
      <c r="A187" s="1372"/>
      <c r="B187" s="1385" t="s">
        <v>79</v>
      </c>
      <c r="C187" s="1466" t="s">
        <v>2156</v>
      </c>
      <c r="D187" s="1372"/>
    </row>
    <row r="188" spans="1:4" ht="12.75" x14ac:dyDescent="0.2">
      <c r="A188" s="1372"/>
      <c r="B188" s="1385" t="s">
        <v>1115</v>
      </c>
      <c r="C188" s="1466" t="s">
        <v>2156</v>
      </c>
      <c r="D188" s="1372"/>
    </row>
    <row r="189" spans="1:4" ht="12.75" x14ac:dyDescent="0.2">
      <c r="A189" s="1372"/>
      <c r="B189" s="1385" t="s">
        <v>80</v>
      </c>
      <c r="C189" s="1466" t="s">
        <v>2156</v>
      </c>
      <c r="D189" s="1372"/>
    </row>
    <row r="190" spans="1:4" ht="12.75" x14ac:dyDescent="0.2">
      <c r="A190" s="1372"/>
      <c r="B190" s="1385" t="s">
        <v>81</v>
      </c>
      <c r="C190" s="1466" t="s">
        <v>2156</v>
      </c>
      <c r="D190" s="1372"/>
    </row>
    <row r="191" spans="1:4" ht="12.75" x14ac:dyDescent="0.2">
      <c r="A191" s="1372"/>
      <c r="B191" s="1385" t="s">
        <v>82</v>
      </c>
      <c r="C191" s="1466" t="s">
        <v>2156</v>
      </c>
      <c r="D191" s="1372"/>
    </row>
    <row r="192" spans="1:4" ht="12.75" x14ac:dyDescent="0.2">
      <c r="A192" s="1372"/>
      <c r="B192" s="1385" t="s">
        <v>83</v>
      </c>
      <c r="C192" s="1466" t="s">
        <v>2156</v>
      </c>
      <c r="D192" s="1372"/>
    </row>
    <row r="193" spans="1:4" ht="12.75" x14ac:dyDescent="0.2">
      <c r="A193" s="1372"/>
      <c r="B193" s="1385" t="s">
        <v>84</v>
      </c>
      <c r="C193" s="1466" t="s">
        <v>2156</v>
      </c>
      <c r="D193" s="1372"/>
    </row>
    <row r="194" spans="1:4" ht="12.75" x14ac:dyDescent="0.2">
      <c r="A194" s="1372"/>
      <c r="B194" s="1385" t="s">
        <v>85</v>
      </c>
      <c r="C194" s="1465" t="s">
        <v>2156</v>
      </c>
      <c r="D194" s="1372"/>
    </row>
    <row r="195" spans="1:4" ht="12.75" x14ac:dyDescent="0.2">
      <c r="A195" s="1372"/>
      <c r="B195" s="1385" t="s">
        <v>1116</v>
      </c>
      <c r="C195" s="1465" t="s">
        <v>2156</v>
      </c>
      <c r="D195" s="1372"/>
    </row>
    <row r="196" spans="1:4" ht="12.75" x14ac:dyDescent="0.2">
      <c r="A196" s="1372"/>
      <c r="B196" s="1385" t="s">
        <v>1805</v>
      </c>
      <c r="C196" s="1465" t="s">
        <v>2156</v>
      </c>
      <c r="D196" s="1372"/>
    </row>
    <row r="197" spans="1:4" ht="12.75" x14ac:dyDescent="0.2">
      <c r="A197" s="1372"/>
      <c r="B197" s="1385" t="s">
        <v>86</v>
      </c>
      <c r="C197" s="1465" t="s">
        <v>2156</v>
      </c>
      <c r="D197" s="1372"/>
    </row>
    <row r="198" spans="1:4" ht="12.75" x14ac:dyDescent="0.2">
      <c r="A198" s="1372"/>
      <c r="B198" s="1385" t="s">
        <v>1806</v>
      </c>
      <c r="C198" s="1465" t="s">
        <v>2156</v>
      </c>
      <c r="D198" s="1372"/>
    </row>
    <row r="199" spans="1:4" ht="12.75" x14ac:dyDescent="0.2">
      <c r="A199" s="1372"/>
      <c r="B199" s="1385" t="s">
        <v>87</v>
      </c>
      <c r="C199" s="1465" t="s">
        <v>2156</v>
      </c>
      <c r="D199" s="1372"/>
    </row>
    <row r="200" spans="1:4" ht="12.75" x14ac:dyDescent="0.2">
      <c r="A200" s="1372"/>
      <c r="B200" s="1385" t="s">
        <v>88</v>
      </c>
      <c r="C200" s="1465" t="s">
        <v>2156</v>
      </c>
      <c r="D200" s="1372"/>
    </row>
    <row r="201" spans="1:4" ht="12.75" x14ac:dyDescent="0.2">
      <c r="A201" s="1372"/>
      <c r="B201" s="1385" t="s">
        <v>1860</v>
      </c>
      <c r="C201" s="1465" t="s">
        <v>2156</v>
      </c>
      <c r="D201" s="1372"/>
    </row>
    <row r="202" spans="1:4" ht="12.75" x14ac:dyDescent="0.2">
      <c r="A202" s="1372"/>
      <c r="B202" s="1385" t="s">
        <v>791</v>
      </c>
      <c r="C202" s="1465" t="s">
        <v>1106</v>
      </c>
      <c r="D202" s="1372"/>
    </row>
    <row r="203" spans="1:4" ht="12.75" x14ac:dyDescent="0.2">
      <c r="A203" s="1372"/>
      <c r="B203" s="1385" t="s">
        <v>792</v>
      </c>
      <c r="C203" s="1465" t="s">
        <v>1106</v>
      </c>
      <c r="D203" s="1372"/>
    </row>
    <row r="204" spans="1:4" ht="12.75" x14ac:dyDescent="0.2">
      <c r="A204" s="1372"/>
      <c r="B204" s="1385" t="s">
        <v>793</v>
      </c>
      <c r="C204" s="1465" t="s">
        <v>1106</v>
      </c>
      <c r="D204" s="1372"/>
    </row>
    <row r="205" spans="1:4" ht="12.75" x14ac:dyDescent="0.2">
      <c r="A205" s="1372"/>
      <c r="B205" s="1385" t="s">
        <v>1807</v>
      </c>
      <c r="C205" s="1465" t="s">
        <v>1106</v>
      </c>
      <c r="D205" s="1372"/>
    </row>
    <row r="206" spans="1:4" ht="12.75" x14ac:dyDescent="0.2">
      <c r="A206" s="1372"/>
      <c r="B206" s="1385" t="s">
        <v>794</v>
      </c>
      <c r="C206" s="1465" t="s">
        <v>1106</v>
      </c>
      <c r="D206" s="1372"/>
    </row>
    <row r="207" spans="1:4" ht="12.75" x14ac:dyDescent="0.2">
      <c r="A207" s="1372"/>
      <c r="B207" s="1385" t="s">
        <v>795</v>
      </c>
      <c r="C207" s="1465" t="s">
        <v>1106</v>
      </c>
      <c r="D207" s="1372"/>
    </row>
    <row r="208" spans="1:4" ht="12.75" x14ac:dyDescent="0.2">
      <c r="A208" s="1372"/>
      <c r="B208" s="1385" t="s">
        <v>796</v>
      </c>
      <c r="C208" s="1465" t="s">
        <v>1106</v>
      </c>
      <c r="D208" s="1372"/>
    </row>
    <row r="209" spans="1:4" ht="12.75" x14ac:dyDescent="0.2">
      <c r="A209" s="1372"/>
      <c r="B209" s="1385" t="s">
        <v>1105</v>
      </c>
      <c r="C209" s="1465" t="s">
        <v>1106</v>
      </c>
      <c r="D209" s="1372"/>
    </row>
    <row r="210" spans="1:4" ht="12.75" x14ac:dyDescent="0.2">
      <c r="A210" s="1372"/>
      <c r="B210" s="1385" t="s">
        <v>1808</v>
      </c>
      <c r="C210" s="1465" t="s">
        <v>1106</v>
      </c>
      <c r="D210" s="1372"/>
    </row>
    <row r="211" spans="1:4" ht="12.75" x14ac:dyDescent="0.2">
      <c r="A211" s="1372"/>
      <c r="B211" s="1385" t="s">
        <v>1866</v>
      </c>
      <c r="C211" s="1465" t="s">
        <v>1106</v>
      </c>
      <c r="D211" s="1372"/>
    </row>
    <row r="212" spans="1:4" ht="12.75" x14ac:dyDescent="0.2">
      <c r="A212" s="1372"/>
      <c r="B212" s="1385" t="s">
        <v>797</v>
      </c>
      <c r="C212" s="1465" t="s">
        <v>1106</v>
      </c>
      <c r="D212" s="1372"/>
    </row>
    <row r="213" spans="1:4" ht="12.75" x14ac:dyDescent="0.2">
      <c r="A213" s="1372"/>
      <c r="B213" s="1385" t="s">
        <v>798</v>
      </c>
      <c r="C213" s="1465" t="s">
        <v>1106</v>
      </c>
      <c r="D213" s="1372"/>
    </row>
    <row r="214" spans="1:4" ht="12.75" x14ac:dyDescent="0.2">
      <c r="A214" s="1372"/>
      <c r="B214" s="1385" t="s">
        <v>1867</v>
      </c>
      <c r="C214" s="1465" t="s">
        <v>1106</v>
      </c>
      <c r="D214" s="1372"/>
    </row>
    <row r="215" spans="1:4" ht="12.75" x14ac:dyDescent="0.2">
      <c r="A215" s="1372"/>
      <c r="B215" s="1385" t="s">
        <v>89</v>
      </c>
      <c r="C215" s="1465" t="s">
        <v>1106</v>
      </c>
      <c r="D215" s="1372"/>
    </row>
    <row r="216" spans="1:4" ht="12.75" x14ac:dyDescent="0.2">
      <c r="A216" s="1372"/>
      <c r="B216" s="1385" t="s">
        <v>1108</v>
      </c>
      <c r="C216" s="1465" t="s">
        <v>1106</v>
      </c>
      <c r="D216" s="1372"/>
    </row>
    <row r="217" spans="1:4" ht="12.75" x14ac:dyDescent="0.2">
      <c r="A217" s="1372"/>
      <c r="B217" s="1385" t="s">
        <v>799</v>
      </c>
      <c r="C217" s="1465" t="s">
        <v>1106</v>
      </c>
      <c r="D217" s="1372"/>
    </row>
    <row r="218" spans="1:4" ht="12.75" x14ac:dyDescent="0.2">
      <c r="A218" s="1372"/>
      <c r="B218" s="1385" t="s">
        <v>800</v>
      </c>
      <c r="C218" s="1465" t="s">
        <v>1106</v>
      </c>
      <c r="D218" s="1372"/>
    </row>
    <row r="219" spans="1:4" ht="12.75" x14ac:dyDescent="0.2">
      <c r="A219" s="1372"/>
      <c r="B219" s="1385" t="s">
        <v>801</v>
      </c>
      <c r="C219" s="1465" t="s">
        <v>1106</v>
      </c>
      <c r="D219" s="1372"/>
    </row>
    <row r="220" spans="1:4" ht="12.75" x14ac:dyDescent="0.2">
      <c r="A220" s="1372"/>
      <c r="B220" s="1385" t="s">
        <v>802</v>
      </c>
      <c r="C220" s="1465" t="s">
        <v>1106</v>
      </c>
      <c r="D220" s="1372"/>
    </row>
    <row r="221" spans="1:4" ht="12.75" x14ac:dyDescent="0.2">
      <c r="A221" s="1372"/>
      <c r="B221" s="1385" t="s">
        <v>803</v>
      </c>
      <c r="C221" s="1465" t="s">
        <v>1106</v>
      </c>
      <c r="D221" s="1372"/>
    </row>
    <row r="222" spans="1:4" ht="12.75" x14ac:dyDescent="0.2">
      <c r="A222" s="1372"/>
      <c r="B222" s="1385" t="s">
        <v>1109</v>
      </c>
      <c r="C222" s="1465" t="s">
        <v>1106</v>
      </c>
      <c r="D222" s="1372"/>
    </row>
    <row r="223" spans="1:4" ht="12.75" x14ac:dyDescent="0.2">
      <c r="A223" s="1372"/>
      <c r="B223" s="1385" t="s">
        <v>258</v>
      </c>
      <c r="C223" s="1465" t="s">
        <v>1118</v>
      </c>
      <c r="D223" s="1372"/>
    </row>
    <row r="224" spans="1:4" ht="12.75" x14ac:dyDescent="0.2">
      <c r="A224" s="1372"/>
      <c r="B224" s="1385" t="s">
        <v>259</v>
      </c>
      <c r="C224" s="1465" t="s">
        <v>1118</v>
      </c>
      <c r="D224" s="1372"/>
    </row>
    <row r="225" spans="1:4" ht="12.75" x14ac:dyDescent="0.2">
      <c r="A225" s="1372"/>
      <c r="B225" s="1385" t="s">
        <v>260</v>
      </c>
      <c r="C225" s="1465" t="s">
        <v>1118</v>
      </c>
      <c r="D225" s="1372"/>
    </row>
    <row r="226" spans="1:4" ht="12.75" x14ac:dyDescent="0.2">
      <c r="A226" s="1372"/>
      <c r="B226" s="1385" t="s">
        <v>261</v>
      </c>
      <c r="C226" s="1465" t="s">
        <v>1118</v>
      </c>
      <c r="D226" s="1372"/>
    </row>
    <row r="227" spans="1:4" ht="12.75" x14ac:dyDescent="0.2">
      <c r="A227" s="1372"/>
      <c r="B227" s="1385" t="s">
        <v>204</v>
      </c>
      <c r="C227" s="1465" t="s">
        <v>1118</v>
      </c>
      <c r="D227" s="1372"/>
    </row>
    <row r="228" spans="1:4" ht="12.75" x14ac:dyDescent="0.2">
      <c r="A228" s="1372"/>
      <c r="B228" s="1385" t="s">
        <v>1117</v>
      </c>
      <c r="C228" s="1465" t="s">
        <v>1118</v>
      </c>
      <c r="D228" s="1372"/>
    </row>
    <row r="229" spans="1:4" ht="12.75" x14ac:dyDescent="0.2">
      <c r="A229" s="1372"/>
      <c r="B229" s="1385" t="s">
        <v>205</v>
      </c>
      <c r="C229" s="1465" t="s">
        <v>1118</v>
      </c>
      <c r="D229" s="1372"/>
    </row>
    <row r="230" spans="1:4" ht="12.75" x14ac:dyDescent="0.2">
      <c r="A230" s="1372"/>
      <c r="B230" s="1385" t="s">
        <v>206</v>
      </c>
      <c r="C230" s="1465" t="s">
        <v>1118</v>
      </c>
      <c r="D230" s="1372"/>
    </row>
    <row r="231" spans="1:4" ht="12.75" x14ac:dyDescent="0.2">
      <c r="A231" s="1372"/>
      <c r="B231" s="1385" t="s">
        <v>207</v>
      </c>
      <c r="C231" s="1465" t="s">
        <v>1118</v>
      </c>
      <c r="D231" s="1372"/>
    </row>
    <row r="232" spans="1:4" ht="12.75" x14ac:dyDescent="0.2">
      <c r="A232" s="1372"/>
      <c r="B232" s="1385" t="s">
        <v>208</v>
      </c>
      <c r="C232" s="1465" t="s">
        <v>1118</v>
      </c>
      <c r="D232" s="1372"/>
    </row>
    <row r="233" spans="1:4" ht="12.75" x14ac:dyDescent="0.2">
      <c r="A233" s="1372"/>
      <c r="B233" s="1385" t="s">
        <v>209</v>
      </c>
      <c r="C233" s="1465" t="s">
        <v>1118</v>
      </c>
      <c r="D233" s="1372"/>
    </row>
    <row r="234" spans="1:4" ht="12.75" x14ac:dyDescent="0.2">
      <c r="A234" s="1372"/>
      <c r="B234" s="1385" t="s">
        <v>1119</v>
      </c>
      <c r="C234" s="1465" t="s">
        <v>1118</v>
      </c>
      <c r="D234" s="1372"/>
    </row>
    <row r="235" spans="1:4" ht="12.75" x14ac:dyDescent="0.2">
      <c r="A235" s="1372"/>
      <c r="B235" s="1385" t="s">
        <v>210</v>
      </c>
      <c r="C235" s="1465" t="s">
        <v>1118</v>
      </c>
      <c r="D235" s="1372"/>
    </row>
    <row r="236" spans="1:4" ht="12.75" x14ac:dyDescent="0.2">
      <c r="A236" s="1372"/>
      <c r="B236" s="1385" t="s">
        <v>211</v>
      </c>
      <c r="C236" s="1465" t="s">
        <v>1118</v>
      </c>
      <c r="D236" s="1372"/>
    </row>
    <row r="237" spans="1:4" ht="12.75" x14ac:dyDescent="0.2">
      <c r="A237" s="1372"/>
      <c r="B237" s="1385" t="s">
        <v>212</v>
      </c>
      <c r="C237" s="1465" t="s">
        <v>1118</v>
      </c>
      <c r="D237" s="1372"/>
    </row>
    <row r="238" spans="1:4" ht="12.75" x14ac:dyDescent="0.2">
      <c r="A238" s="1372"/>
      <c r="B238" s="1385" t="s">
        <v>213</v>
      </c>
      <c r="C238" s="1465" t="s">
        <v>1118</v>
      </c>
      <c r="D238" s="1372"/>
    </row>
    <row r="239" spans="1:4" ht="12.75" x14ac:dyDescent="0.2">
      <c r="A239" s="1372"/>
      <c r="B239" s="1385" t="s">
        <v>1868</v>
      </c>
      <c r="C239" s="1465" t="s">
        <v>1118</v>
      </c>
      <c r="D239" s="1372"/>
    </row>
    <row r="240" spans="1:4" ht="12.75" x14ac:dyDescent="0.2">
      <c r="A240" s="1372"/>
      <c r="B240" s="1385" t="s">
        <v>1667</v>
      </c>
      <c r="C240" s="1465" t="s">
        <v>1118</v>
      </c>
      <c r="D240" s="1372"/>
    </row>
    <row r="241" spans="1:4" ht="12.75" x14ac:dyDescent="0.2">
      <c r="A241" s="1372"/>
      <c r="B241" s="1385" t="s">
        <v>214</v>
      </c>
      <c r="C241" s="1465" t="s">
        <v>1118</v>
      </c>
      <c r="D241" s="1372"/>
    </row>
    <row r="242" spans="1:4" ht="12.75" x14ac:dyDescent="0.2">
      <c r="A242" s="1372"/>
      <c r="B242" s="1385" t="s">
        <v>215</v>
      </c>
      <c r="C242" s="1465" t="s">
        <v>1118</v>
      </c>
      <c r="D242" s="1372"/>
    </row>
    <row r="243" spans="1:4" ht="12.75" x14ac:dyDescent="0.2">
      <c r="A243" s="1372"/>
      <c r="B243" s="1385" t="s">
        <v>90</v>
      </c>
      <c r="C243" s="1465" t="s">
        <v>1118</v>
      </c>
      <c r="D243" s="1372"/>
    </row>
    <row r="244" spans="1:4" ht="12.75" x14ac:dyDescent="0.2">
      <c r="A244" s="1372"/>
      <c r="B244" s="1385" t="s">
        <v>216</v>
      </c>
      <c r="C244" s="1465" t="s">
        <v>1118</v>
      </c>
      <c r="D244" s="1372"/>
    </row>
    <row r="245" spans="1:4" ht="12.75" x14ac:dyDescent="0.2">
      <c r="A245" s="1372"/>
      <c r="B245" s="1385" t="s">
        <v>1668</v>
      </c>
      <c r="C245" s="1465" t="s">
        <v>1118</v>
      </c>
      <c r="D245" s="1372"/>
    </row>
    <row r="246" spans="1:4" ht="12.75" x14ac:dyDescent="0.2">
      <c r="A246" s="1372"/>
      <c r="B246" s="1385" t="s">
        <v>1809</v>
      </c>
      <c r="C246" s="1465" t="s">
        <v>1134</v>
      </c>
      <c r="D246" s="1372"/>
    </row>
    <row r="247" spans="1:4" ht="12.75" x14ac:dyDescent="0.2">
      <c r="A247" s="1372"/>
      <c r="B247" s="1385" t="s">
        <v>256</v>
      </c>
      <c r="C247" s="1465" t="s">
        <v>1134</v>
      </c>
      <c r="D247" s="1372"/>
    </row>
    <row r="248" spans="1:4" ht="12.75" x14ac:dyDescent="0.2">
      <c r="A248" s="1372"/>
      <c r="B248" s="1385" t="s">
        <v>257</v>
      </c>
      <c r="C248" s="1465" t="s">
        <v>1134</v>
      </c>
      <c r="D248" s="1372"/>
    </row>
    <row r="249" spans="1:4" ht="12.75" x14ac:dyDescent="0.2">
      <c r="A249" s="1372"/>
      <c r="B249" s="1385" t="s">
        <v>1798</v>
      </c>
      <c r="C249" s="1465" t="s">
        <v>1134</v>
      </c>
      <c r="D249" s="1372"/>
    </row>
    <row r="250" spans="1:4" ht="12.75" x14ac:dyDescent="0.2">
      <c r="A250" s="1372"/>
      <c r="B250" s="1385" t="s">
        <v>804</v>
      </c>
      <c r="C250" s="1465" t="s">
        <v>1134</v>
      </c>
      <c r="D250" s="1372"/>
    </row>
    <row r="251" spans="1:4" ht="12.75" x14ac:dyDescent="0.2">
      <c r="A251" s="1372"/>
      <c r="B251" s="1385" t="s">
        <v>805</v>
      </c>
      <c r="C251" s="1465" t="s">
        <v>1134</v>
      </c>
      <c r="D251" s="1372"/>
    </row>
    <row r="252" spans="1:4" ht="12.75" x14ac:dyDescent="0.2">
      <c r="A252" s="1372"/>
      <c r="B252" s="1385" t="s">
        <v>806</v>
      </c>
      <c r="C252" s="1465" t="s">
        <v>1134</v>
      </c>
      <c r="D252" s="1372"/>
    </row>
    <row r="253" spans="1:4" ht="12.75" x14ac:dyDescent="0.2">
      <c r="A253" s="1372"/>
      <c r="B253" s="1385" t="s">
        <v>807</v>
      </c>
      <c r="C253" s="1465" t="s">
        <v>1134</v>
      </c>
      <c r="D253" s="1372"/>
    </row>
    <row r="254" spans="1:4" ht="12.75" x14ac:dyDescent="0.2">
      <c r="A254" s="1372"/>
      <c r="B254" s="1385" t="s">
        <v>808</v>
      </c>
      <c r="C254" s="1465" t="s">
        <v>1134</v>
      </c>
      <c r="D254" s="1372"/>
    </row>
    <row r="255" spans="1:4" ht="12.75" x14ac:dyDescent="0.2">
      <c r="A255" s="1372"/>
      <c r="B255" s="1385" t="s">
        <v>809</v>
      </c>
      <c r="C255" s="1465" t="s">
        <v>1134</v>
      </c>
      <c r="D255" s="1372"/>
    </row>
    <row r="256" spans="1:4" ht="12.75" x14ac:dyDescent="0.2">
      <c r="A256" s="1372"/>
      <c r="B256" s="1385" t="s">
        <v>1133</v>
      </c>
      <c r="C256" s="1465" t="s">
        <v>1134</v>
      </c>
      <c r="D256" s="1372"/>
    </row>
    <row r="257" spans="1:4" ht="12.75" x14ac:dyDescent="0.2">
      <c r="A257" s="1372"/>
      <c r="B257" s="1385" t="s">
        <v>1220</v>
      </c>
      <c r="C257" s="1465" t="s">
        <v>1134</v>
      </c>
      <c r="D257" s="1372"/>
    </row>
    <row r="258" spans="1:4" ht="12.75" x14ac:dyDescent="0.2">
      <c r="A258" s="1372"/>
      <c r="B258" s="1385" t="s">
        <v>1221</v>
      </c>
      <c r="C258" s="1465" t="s">
        <v>1134</v>
      </c>
      <c r="D258" s="1372"/>
    </row>
    <row r="259" spans="1:4" ht="12.75" x14ac:dyDescent="0.2">
      <c r="A259" s="1372"/>
      <c r="B259" s="1385" t="s">
        <v>1222</v>
      </c>
      <c r="C259" s="1465" t="s">
        <v>1134</v>
      </c>
      <c r="D259" s="1372"/>
    </row>
    <row r="260" spans="1:4" ht="12.75" x14ac:dyDescent="0.2">
      <c r="A260" s="1372"/>
      <c r="B260" s="1385" t="s">
        <v>1223</v>
      </c>
      <c r="C260" s="1465" t="s">
        <v>1134</v>
      </c>
      <c r="D260" s="1372"/>
    </row>
    <row r="261" spans="1:4" ht="12.75" x14ac:dyDescent="0.2">
      <c r="A261" s="1372"/>
      <c r="B261" s="1385" t="s">
        <v>1224</v>
      </c>
      <c r="C261" s="1465" t="s">
        <v>1134</v>
      </c>
      <c r="D261" s="1372"/>
    </row>
    <row r="262" spans="1:4" ht="12.75" x14ac:dyDescent="0.2">
      <c r="A262" s="1372"/>
      <c r="B262" s="1385" t="s">
        <v>1225</v>
      </c>
      <c r="C262" s="1465" t="s">
        <v>1134</v>
      </c>
      <c r="D262" s="1372"/>
    </row>
    <row r="263" spans="1:4" ht="12.75" x14ac:dyDescent="0.2">
      <c r="A263" s="1372"/>
      <c r="B263" s="1385" t="s">
        <v>244</v>
      </c>
      <c r="C263" s="1465" t="s">
        <v>1134</v>
      </c>
      <c r="D263" s="1372"/>
    </row>
    <row r="264" spans="1:4" ht="12.75" x14ac:dyDescent="0.2">
      <c r="A264" s="1372"/>
      <c r="B264" s="1385" t="s">
        <v>245</v>
      </c>
      <c r="C264" s="1465" t="s">
        <v>1134</v>
      </c>
      <c r="D264" s="1372"/>
    </row>
    <row r="265" spans="1:4" ht="12.75" x14ac:dyDescent="0.2">
      <c r="A265" s="1372"/>
      <c r="B265" s="1385" t="s">
        <v>1861</v>
      </c>
      <c r="C265" s="1465" t="s">
        <v>1134</v>
      </c>
      <c r="D265" s="1372"/>
    </row>
    <row r="266" spans="1:4" ht="12.75" x14ac:dyDescent="0.2">
      <c r="A266" s="1372"/>
      <c r="B266" s="1385" t="s">
        <v>246</v>
      </c>
      <c r="C266" s="1465" t="s">
        <v>1134</v>
      </c>
      <c r="D266" s="1372"/>
    </row>
    <row r="267" spans="1:4" ht="12.75" x14ac:dyDescent="0.2">
      <c r="A267" s="1372"/>
      <c r="B267" s="1385" t="s">
        <v>247</v>
      </c>
      <c r="C267" s="1465" t="s">
        <v>1134</v>
      </c>
      <c r="D267" s="1372"/>
    </row>
    <row r="268" spans="1:4" ht="12.75" x14ac:dyDescent="0.2">
      <c r="A268" s="1372"/>
      <c r="B268" s="1385" t="s">
        <v>248</v>
      </c>
      <c r="C268" s="1465" t="s">
        <v>1134</v>
      </c>
      <c r="D268" s="1372"/>
    </row>
    <row r="269" spans="1:4" ht="12.75" x14ac:dyDescent="0.2">
      <c r="A269" s="1372"/>
      <c r="B269" s="1385" t="s">
        <v>249</v>
      </c>
      <c r="C269" s="1465" t="s">
        <v>1134</v>
      </c>
      <c r="D269" s="1372"/>
    </row>
    <row r="270" spans="1:4" ht="12.75" x14ac:dyDescent="0.2">
      <c r="A270" s="1372"/>
      <c r="B270" s="1385" t="s">
        <v>250</v>
      </c>
      <c r="C270" s="1465" t="s">
        <v>1134</v>
      </c>
      <c r="D270" s="1372"/>
    </row>
    <row r="271" spans="1:4" ht="12.75" x14ac:dyDescent="0.2">
      <c r="A271" s="1372"/>
      <c r="B271" s="1385" t="s">
        <v>251</v>
      </c>
      <c r="C271" s="1465" t="s">
        <v>1134</v>
      </c>
      <c r="D271" s="1372"/>
    </row>
    <row r="272" spans="1:4" ht="12.75" x14ac:dyDescent="0.2">
      <c r="A272" s="1372"/>
      <c r="B272" s="1385" t="s">
        <v>1135</v>
      </c>
      <c r="C272" s="1465" t="s">
        <v>1134</v>
      </c>
      <c r="D272" s="1372"/>
    </row>
    <row r="273" spans="1:4" ht="12.75" x14ac:dyDescent="0.2">
      <c r="A273" s="1372"/>
      <c r="B273" s="1385" t="s">
        <v>252</v>
      </c>
      <c r="C273" s="1465" t="s">
        <v>1134</v>
      </c>
      <c r="D273" s="1372"/>
    </row>
    <row r="274" spans="1:4" ht="12.75" x14ac:dyDescent="0.2">
      <c r="A274" s="1372"/>
      <c r="B274" s="1385" t="s">
        <v>253</v>
      </c>
      <c r="C274" s="1465" t="s">
        <v>1134</v>
      </c>
      <c r="D274" s="1372"/>
    </row>
    <row r="275" spans="1:4" ht="12.75" x14ac:dyDescent="0.2">
      <c r="A275" s="1372"/>
      <c r="B275" s="1385" t="s">
        <v>254</v>
      </c>
      <c r="C275" s="1465" t="s">
        <v>1134</v>
      </c>
      <c r="D275" s="1372"/>
    </row>
    <row r="276" spans="1:4" ht="12.75" x14ac:dyDescent="0.2">
      <c r="A276" s="1372"/>
      <c r="B276" s="1385" t="s">
        <v>255</v>
      </c>
      <c r="C276" s="1465" t="s">
        <v>1134</v>
      </c>
      <c r="D276" s="1372"/>
    </row>
    <row r="277" spans="1:4" ht="12.75" x14ac:dyDescent="0.2">
      <c r="A277" s="1372"/>
      <c r="B277" s="1385" t="s">
        <v>1136</v>
      </c>
      <c r="C277" s="1465" t="s">
        <v>1134</v>
      </c>
      <c r="D277" s="1372"/>
    </row>
    <row r="278" spans="1:4" ht="12.75" x14ac:dyDescent="0.2">
      <c r="A278" s="1372"/>
      <c r="B278" s="1385" t="s">
        <v>2157</v>
      </c>
      <c r="C278" s="1465" t="s">
        <v>984</v>
      </c>
      <c r="D278" s="1372"/>
    </row>
    <row r="279" spans="1:4" ht="12.75" x14ac:dyDescent="0.2">
      <c r="A279" s="1372"/>
      <c r="B279" s="1385" t="s">
        <v>217</v>
      </c>
      <c r="C279" s="1465" t="s">
        <v>984</v>
      </c>
      <c r="D279" s="1372"/>
    </row>
    <row r="280" spans="1:4" ht="12.75" x14ac:dyDescent="0.2">
      <c r="A280" s="1372"/>
      <c r="B280" s="1385" t="s">
        <v>218</v>
      </c>
      <c r="C280" s="1465" t="s">
        <v>984</v>
      </c>
      <c r="D280" s="1372"/>
    </row>
    <row r="281" spans="1:4" ht="12.75" x14ac:dyDescent="0.2">
      <c r="A281" s="1372"/>
      <c r="B281" s="1385" t="s">
        <v>219</v>
      </c>
      <c r="C281" s="1465" t="s">
        <v>984</v>
      </c>
      <c r="D281" s="1372"/>
    </row>
    <row r="282" spans="1:4" ht="12.75" x14ac:dyDescent="0.2">
      <c r="A282" s="1372"/>
      <c r="B282" s="1385" t="s">
        <v>220</v>
      </c>
      <c r="C282" s="1465" t="s">
        <v>984</v>
      </c>
      <c r="D282" s="1372"/>
    </row>
    <row r="283" spans="1:4" ht="12.75" x14ac:dyDescent="0.2">
      <c r="A283" s="1372"/>
      <c r="B283" s="1385" t="s">
        <v>221</v>
      </c>
      <c r="C283" s="1465" t="s">
        <v>984</v>
      </c>
      <c r="D283" s="1372"/>
    </row>
    <row r="284" spans="1:4" ht="12.75" x14ac:dyDescent="0.2">
      <c r="A284" s="1372"/>
      <c r="B284" s="1385" t="s">
        <v>983</v>
      </c>
      <c r="C284" s="1465" t="s">
        <v>984</v>
      </c>
      <c r="D284" s="1372"/>
    </row>
    <row r="285" spans="1:4" ht="12.75" x14ac:dyDescent="0.2">
      <c r="A285" s="1372"/>
      <c r="B285" s="1385" t="s">
        <v>222</v>
      </c>
      <c r="C285" s="1465" t="s">
        <v>984</v>
      </c>
      <c r="D285" s="1372"/>
    </row>
    <row r="286" spans="1:4" ht="12.75" x14ac:dyDescent="0.2">
      <c r="A286" s="1372"/>
      <c r="B286" s="1385" t="s">
        <v>223</v>
      </c>
      <c r="C286" s="1465" t="s">
        <v>984</v>
      </c>
      <c r="D286" s="1372"/>
    </row>
    <row r="287" spans="1:4" ht="12.75" x14ac:dyDescent="0.2">
      <c r="A287" s="1372"/>
      <c r="B287" s="1385" t="s">
        <v>224</v>
      </c>
      <c r="C287" s="1465" t="s">
        <v>984</v>
      </c>
      <c r="D287" s="1372"/>
    </row>
    <row r="288" spans="1:4" ht="12.75" x14ac:dyDescent="0.2">
      <c r="A288" s="1372"/>
      <c r="B288" s="1385" t="s">
        <v>225</v>
      </c>
      <c r="C288" s="1465" t="s">
        <v>984</v>
      </c>
      <c r="D288" s="1372"/>
    </row>
    <row r="289" spans="1:4" ht="12.75" x14ac:dyDescent="0.2">
      <c r="A289" s="1372"/>
      <c r="B289" s="1385" t="s">
        <v>1810</v>
      </c>
      <c r="C289" s="1465" t="s">
        <v>984</v>
      </c>
      <c r="D289" s="1372"/>
    </row>
    <row r="290" spans="1:4" ht="12.75" x14ac:dyDescent="0.2">
      <c r="A290" s="1372"/>
      <c r="B290" s="1385" t="s">
        <v>1859</v>
      </c>
      <c r="C290" s="1465" t="s">
        <v>984</v>
      </c>
      <c r="D290" s="1372"/>
    </row>
    <row r="291" spans="1:4" ht="12.75" x14ac:dyDescent="0.2">
      <c r="A291" s="1372"/>
      <c r="B291" s="1385" t="s">
        <v>226</v>
      </c>
      <c r="C291" s="1465" t="s">
        <v>984</v>
      </c>
      <c r="D291" s="1372"/>
    </row>
    <row r="292" spans="1:4" ht="12.75" x14ac:dyDescent="0.2">
      <c r="A292" s="1372"/>
      <c r="B292" s="1385" t="s">
        <v>227</v>
      </c>
      <c r="C292" s="1465" t="s">
        <v>984</v>
      </c>
      <c r="D292" s="1372"/>
    </row>
    <row r="293" spans="1:4" ht="12.75" x14ac:dyDescent="0.2">
      <c r="A293" s="1372"/>
      <c r="B293" s="1385" t="s">
        <v>228</v>
      </c>
      <c r="C293" s="1465" t="s">
        <v>984</v>
      </c>
      <c r="D293" s="1372"/>
    </row>
    <row r="294" spans="1:4" ht="12.75" x14ac:dyDescent="0.2">
      <c r="A294" s="1372"/>
      <c r="B294" s="1385" t="s">
        <v>229</v>
      </c>
      <c r="C294" s="1465" t="s">
        <v>984</v>
      </c>
      <c r="D294" s="1372"/>
    </row>
    <row r="295" spans="1:4" ht="12.75" x14ac:dyDescent="0.2">
      <c r="A295" s="1372"/>
      <c r="B295" s="1385" t="s">
        <v>1104</v>
      </c>
      <c r="C295" s="1465" t="s">
        <v>984</v>
      </c>
      <c r="D295" s="1372"/>
    </row>
    <row r="296" spans="1:4" ht="12.75" x14ac:dyDescent="0.2">
      <c r="A296" s="1372"/>
      <c r="B296" s="1385" t="s">
        <v>230</v>
      </c>
      <c r="C296" s="1465" t="s">
        <v>984</v>
      </c>
      <c r="D296" s="1372"/>
    </row>
    <row r="297" spans="1:4" ht="12.75" x14ac:dyDescent="0.2">
      <c r="A297" s="1372"/>
      <c r="B297" s="1385" t="s">
        <v>231</v>
      </c>
      <c r="C297" s="1465" t="s">
        <v>984</v>
      </c>
      <c r="D297" s="1372"/>
    </row>
    <row r="298" spans="1:4" ht="12.75" x14ac:dyDescent="0.2">
      <c r="A298" s="1372"/>
      <c r="B298" s="1385" t="s">
        <v>232</v>
      </c>
      <c r="C298" s="1465" t="s">
        <v>984</v>
      </c>
      <c r="D298" s="1372"/>
    </row>
    <row r="299" spans="1:4" ht="12.75" x14ac:dyDescent="0.2">
      <c r="A299" s="1372"/>
      <c r="B299" s="1385" t="s">
        <v>233</v>
      </c>
      <c r="C299" s="1465" t="s">
        <v>984</v>
      </c>
      <c r="D299" s="1372"/>
    </row>
    <row r="300" spans="1:4" ht="12.75" x14ac:dyDescent="0.2">
      <c r="A300" s="1372"/>
      <c r="B300" s="1385" t="s">
        <v>234</v>
      </c>
      <c r="C300" s="1465" t="s">
        <v>984</v>
      </c>
      <c r="D300" s="1372"/>
    </row>
    <row r="301" spans="1:4" ht="12.75" x14ac:dyDescent="0.2">
      <c r="A301" s="1372"/>
      <c r="B301" s="1385" t="s">
        <v>235</v>
      </c>
      <c r="C301" s="1465" t="s">
        <v>984</v>
      </c>
      <c r="D301" s="1372"/>
    </row>
    <row r="302" spans="1:4" ht="12.75" x14ac:dyDescent="0.2">
      <c r="A302" s="1372"/>
      <c r="B302" s="1385" t="s">
        <v>236</v>
      </c>
      <c r="C302" s="1465" t="s">
        <v>984</v>
      </c>
      <c r="D302" s="1372"/>
    </row>
    <row r="303" spans="1:4" ht="12.75" x14ac:dyDescent="0.2">
      <c r="A303" s="1372"/>
      <c r="B303" s="1385" t="s">
        <v>1122</v>
      </c>
      <c r="C303" s="1465" t="s">
        <v>984</v>
      </c>
      <c r="D303" s="1372"/>
    </row>
    <row r="304" spans="1:4" ht="12.75" x14ac:dyDescent="0.2">
      <c r="A304" s="1372"/>
      <c r="B304" s="1385" t="s">
        <v>237</v>
      </c>
      <c r="C304" s="1465" t="s">
        <v>984</v>
      </c>
      <c r="D304" s="1372"/>
    </row>
    <row r="305" spans="1:4" ht="12.75" x14ac:dyDescent="0.2">
      <c r="A305" s="1372"/>
      <c r="B305" s="1385" t="s">
        <v>238</v>
      </c>
      <c r="C305" s="1465" t="s">
        <v>984</v>
      </c>
      <c r="D305" s="1372"/>
    </row>
    <row r="306" spans="1:4" ht="12.75" x14ac:dyDescent="0.2">
      <c r="A306" s="1372"/>
      <c r="B306" s="1385" t="s">
        <v>239</v>
      </c>
      <c r="C306" s="1465" t="s">
        <v>984</v>
      </c>
      <c r="D306" s="1372"/>
    </row>
    <row r="307" spans="1:4" ht="12.75" x14ac:dyDescent="0.2">
      <c r="A307" s="1372"/>
      <c r="B307" s="1385" t="s">
        <v>1132</v>
      </c>
      <c r="C307" s="1465" t="s">
        <v>984</v>
      </c>
      <c r="D307" s="1372"/>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37" activePane="bottomRight" state="frozen"/>
      <selection pane="topRight"/>
      <selection pane="bottomLeft"/>
      <selection pane="bottomRight" activeCell="C31" sqref="C31:E3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LIM471 Ephraim Mogale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72029000</v>
      </c>
      <c r="D7" s="624">
        <f t="shared" ref="D7:K7" si="0">SUM(D8:D14)</f>
        <v>81274672.620000005</v>
      </c>
      <c r="E7" s="625">
        <f t="shared" si="0"/>
        <v>94712291</v>
      </c>
      <c r="F7" s="626">
        <f t="shared" si="0"/>
        <v>122308000</v>
      </c>
      <c r="G7" s="624">
        <f t="shared" si="0"/>
        <v>122308000</v>
      </c>
      <c r="H7" s="627">
        <f t="shared" si="0"/>
        <v>122308000</v>
      </c>
      <c r="I7" s="628">
        <f t="shared" si="0"/>
        <v>121374000</v>
      </c>
      <c r="J7" s="624">
        <f t="shared" si="0"/>
        <v>129936000</v>
      </c>
      <c r="K7" s="625">
        <f t="shared" si="0"/>
        <v>137610000</v>
      </c>
    </row>
    <row r="8" spans="1:11" ht="11.25" customHeight="1" x14ac:dyDescent="0.25">
      <c r="A8" s="245" t="str">
        <f>IF('SA18'!A8="","",'SA18'!A8)</f>
        <v>Local Government Equitable Share</v>
      </c>
      <c r="B8" s="60"/>
      <c r="C8" s="2423"/>
      <c r="D8" s="2423"/>
      <c r="E8" s="2424"/>
      <c r="F8" s="2425"/>
      <c r="G8" s="2423"/>
      <c r="H8" s="2426"/>
      <c r="I8" s="2427"/>
      <c r="J8" s="2423"/>
      <c r="K8" s="2424"/>
    </row>
    <row r="9" spans="1:11" ht="11.25" customHeight="1" x14ac:dyDescent="0.25">
      <c r="A9" s="245" t="str">
        <f>IF('SA18'!A9="","",'SA18'!A9)</f>
        <v>Local Government Equitable Share</v>
      </c>
      <c r="B9" s="60"/>
      <c r="C9" s="2417">
        <v>68729000</v>
      </c>
      <c r="D9" s="2414">
        <v>77149000</v>
      </c>
      <c r="E9" s="2414">
        <v>91614000</v>
      </c>
      <c r="F9" s="2415">
        <v>118546000</v>
      </c>
      <c r="G9" s="2415">
        <v>118546000</v>
      </c>
      <c r="H9" s="2415">
        <v>118546000</v>
      </c>
      <c r="I9" s="2417">
        <v>117556000</v>
      </c>
      <c r="J9" s="2413">
        <v>127003000</v>
      </c>
      <c r="K9" s="2414">
        <v>135210000</v>
      </c>
    </row>
    <row r="10" spans="1:11" ht="11.25" customHeight="1" x14ac:dyDescent="0.25">
      <c r="A10" s="245" t="str">
        <f>IF('SA18'!A10="","",'SA18'!A10)</f>
        <v>Energy Efficiency  and Demand Management</v>
      </c>
      <c r="B10" s="60"/>
      <c r="C10" s="2417"/>
      <c r="D10" s="2414">
        <v>1393159</v>
      </c>
      <c r="E10" s="2414"/>
      <c r="F10" s="2415"/>
      <c r="G10" s="2413"/>
      <c r="H10" s="2416"/>
      <c r="I10" s="2417"/>
      <c r="J10" s="2413"/>
      <c r="K10" s="2414"/>
    </row>
    <row r="11" spans="1:11" ht="11.25" customHeight="1" x14ac:dyDescent="0.25">
      <c r="A11" s="245" t="str">
        <f>IF('SA18'!A11="","",'SA18'!A11)</f>
        <v xml:space="preserve">Finance Management </v>
      </c>
      <c r="B11" s="60"/>
      <c r="C11" s="2417">
        <v>1500000</v>
      </c>
      <c r="D11" s="2414">
        <v>1327693.6200000001</v>
      </c>
      <c r="E11" s="2414">
        <v>1635885</v>
      </c>
      <c r="F11" s="2415">
        <v>1675000</v>
      </c>
      <c r="G11" s="2415">
        <v>1675000</v>
      </c>
      <c r="H11" s="2415">
        <v>1675000</v>
      </c>
      <c r="I11" s="2417">
        <v>1810000</v>
      </c>
      <c r="J11" s="2413">
        <v>2145000</v>
      </c>
      <c r="K11" s="2414">
        <v>2400000</v>
      </c>
    </row>
    <row r="12" spans="1:11" ht="11.25" customHeight="1" x14ac:dyDescent="0.25">
      <c r="A12" s="245" t="str">
        <f>IF('SA18'!A12="","",'SA18'!A12)</f>
        <v>EPWP Incentive</v>
      </c>
      <c r="B12" s="60"/>
      <c r="C12" s="2417">
        <v>1000000</v>
      </c>
      <c r="D12" s="2414">
        <v>982846</v>
      </c>
      <c r="E12" s="2414">
        <v>1279000</v>
      </c>
      <c r="F12" s="2415">
        <v>1157000</v>
      </c>
      <c r="G12" s="2415">
        <v>1157000</v>
      </c>
      <c r="H12" s="2415">
        <v>1157000</v>
      </c>
      <c r="I12" s="2417">
        <v>1258000</v>
      </c>
      <c r="J12" s="2413">
        <v>0</v>
      </c>
      <c r="K12" s="2414">
        <v>0</v>
      </c>
    </row>
    <row r="13" spans="1:11" ht="11.25" customHeight="1" x14ac:dyDescent="0.25">
      <c r="A13" s="245" t="str">
        <f>IF('SA18'!A13="","",'SA18'!A13)</f>
        <v>Municipal Systems Improvement</v>
      </c>
      <c r="B13" s="60"/>
      <c r="C13" s="2417">
        <v>800000</v>
      </c>
      <c r="D13" s="2414">
        <v>421974</v>
      </c>
      <c r="E13" s="2414">
        <v>183406</v>
      </c>
      <c r="F13" s="2415">
        <v>930000</v>
      </c>
      <c r="G13" s="2415">
        <v>930000</v>
      </c>
      <c r="H13" s="2415">
        <v>930000</v>
      </c>
      <c r="I13" s="2417">
        <v>750000</v>
      </c>
      <c r="J13" s="2413">
        <v>788000</v>
      </c>
      <c r="K13" s="2414">
        <v>0</v>
      </c>
    </row>
    <row r="14" spans="1:11" ht="11.25" customHeight="1" x14ac:dyDescent="0.25">
      <c r="A14" s="2422" t="str">
        <f>'SA18'!A14</f>
        <v xml:space="preserve">  Other transfers/grants [insert description]</v>
      </c>
      <c r="B14" s="60"/>
      <c r="C14" s="2428"/>
      <c r="D14" s="2428"/>
      <c r="E14" s="2429"/>
      <c r="F14" s="2430"/>
      <c r="G14" s="2428"/>
      <c r="H14" s="2431"/>
      <c r="I14" s="2432"/>
      <c r="J14" s="2428"/>
      <c r="K14" s="2429"/>
    </row>
    <row r="15" spans="1:11" ht="18" customHeight="1" x14ac:dyDescent="0.25">
      <c r="A15" s="250" t="str">
        <f>'SA18'!A15</f>
        <v>Provincial Government:</v>
      </c>
      <c r="B15" s="60"/>
      <c r="C15" s="624">
        <f>SUM(C16:C20)</f>
        <v>0</v>
      </c>
      <c r="D15" s="624">
        <f t="shared" ref="D15:K15" si="1">SUM(D16:D20)</f>
        <v>0</v>
      </c>
      <c r="E15" s="625">
        <f t="shared" si="1"/>
        <v>0</v>
      </c>
      <c r="F15" s="626">
        <f t="shared" si="1"/>
        <v>0</v>
      </c>
      <c r="G15" s="624">
        <f t="shared" si="1"/>
        <v>0</v>
      </c>
      <c r="H15" s="627">
        <f t="shared" si="1"/>
        <v>0</v>
      </c>
      <c r="I15" s="628">
        <f t="shared" si="1"/>
        <v>0</v>
      </c>
      <c r="J15" s="624">
        <f t="shared" si="1"/>
        <v>0</v>
      </c>
      <c r="K15" s="625">
        <f t="shared" si="1"/>
        <v>0</v>
      </c>
    </row>
    <row r="16" spans="1:11" ht="11.25" customHeight="1" x14ac:dyDescent="0.25">
      <c r="A16" s="245" t="str">
        <f>IF('SA18'!A16="","",'SA18'!A16)</f>
        <v/>
      </c>
      <c r="B16" s="60"/>
      <c r="C16" s="2423"/>
      <c r="D16" s="2423"/>
      <c r="E16" s="2424"/>
      <c r="F16" s="2425"/>
      <c r="G16" s="2423"/>
      <c r="H16" s="2426"/>
      <c r="I16" s="2427"/>
      <c r="J16" s="2423"/>
      <c r="K16" s="2424"/>
    </row>
    <row r="17" spans="1:12" ht="11.25" customHeight="1" x14ac:dyDescent="0.25">
      <c r="A17" s="245" t="str">
        <f>IF('SA18'!A17="","",'SA18'!A17)</f>
        <v/>
      </c>
      <c r="B17" s="60"/>
      <c r="C17" s="2413"/>
      <c r="D17" s="2413"/>
      <c r="E17" s="2414"/>
      <c r="F17" s="2415"/>
      <c r="G17" s="2413"/>
      <c r="H17" s="2416"/>
      <c r="I17" s="2417"/>
      <c r="J17" s="2413"/>
      <c r="K17" s="2414"/>
    </row>
    <row r="18" spans="1:12" ht="11.25" customHeight="1" x14ac:dyDescent="0.25">
      <c r="A18" s="245" t="str">
        <f>IF('SA18'!A18="","",'SA18'!A18)</f>
        <v/>
      </c>
      <c r="B18" s="60"/>
      <c r="C18" s="2413"/>
      <c r="D18" s="2413"/>
      <c r="E18" s="2414"/>
      <c r="F18" s="2415"/>
      <c r="G18" s="2413"/>
      <c r="H18" s="2416"/>
      <c r="I18" s="2417"/>
      <c r="J18" s="2413"/>
      <c r="K18" s="2414"/>
    </row>
    <row r="19" spans="1:12" ht="11.25" customHeight="1" x14ac:dyDescent="0.25">
      <c r="A19" s="245" t="str">
        <f>IF('SA18'!A19="","",'SA18'!A19)</f>
        <v/>
      </c>
      <c r="B19" s="60"/>
      <c r="C19" s="2413"/>
      <c r="D19" s="2413"/>
      <c r="E19" s="2414"/>
      <c r="F19" s="2415"/>
      <c r="G19" s="2413"/>
      <c r="H19" s="2416"/>
      <c r="I19" s="2417"/>
      <c r="J19" s="2413"/>
      <c r="K19" s="2414"/>
    </row>
    <row r="20" spans="1:12" ht="11.25" customHeight="1" x14ac:dyDescent="0.25">
      <c r="A20" s="2422" t="str">
        <f>'SA18'!A20</f>
        <v xml:space="preserve">  Other transfers/grants [insert description]</v>
      </c>
      <c r="B20" s="60"/>
      <c r="C20" s="2428"/>
      <c r="D20" s="2428"/>
      <c r="E20" s="2429"/>
      <c r="F20" s="2430"/>
      <c r="G20" s="2428"/>
      <c r="H20" s="2431"/>
      <c r="I20" s="2432"/>
      <c r="J20" s="2428"/>
      <c r="K20" s="2429"/>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33" t="str">
        <f>'SA18'!A22</f>
        <v xml:space="preserve">  [insert description]</v>
      </c>
      <c r="B22" s="60"/>
      <c r="C22" s="2423"/>
      <c r="D22" s="2423"/>
      <c r="E22" s="2424"/>
      <c r="F22" s="2425"/>
      <c r="G22" s="2423"/>
      <c r="H22" s="2426"/>
      <c r="I22" s="2427"/>
      <c r="J22" s="2423"/>
      <c r="K22" s="2424"/>
      <c r="L22" s="247"/>
    </row>
    <row r="23" spans="1:12" ht="11.25" customHeight="1" x14ac:dyDescent="0.25">
      <c r="A23" s="2433"/>
      <c r="B23" s="60"/>
      <c r="C23" s="2428"/>
      <c r="D23" s="2428"/>
      <c r="E23" s="2429"/>
      <c r="F23" s="2430"/>
      <c r="G23" s="2428"/>
      <c r="H23" s="2431"/>
      <c r="I23" s="2432"/>
      <c r="J23" s="2428"/>
      <c r="K23" s="2429"/>
      <c r="L23" s="247"/>
    </row>
    <row r="24" spans="1:12" ht="18" customHeight="1" x14ac:dyDescent="0.25">
      <c r="A24" s="250" t="str">
        <f>'SA18'!A24</f>
        <v>Other grant providers:</v>
      </c>
      <c r="B24" s="60"/>
      <c r="C24" s="624">
        <f>SUM(C25:C26)</f>
        <v>0</v>
      </c>
      <c r="D24" s="624">
        <f t="shared" ref="D24:K24" si="3">SUM(D25:D26)</f>
        <v>0</v>
      </c>
      <c r="E24" s="625">
        <f t="shared" si="3"/>
        <v>0</v>
      </c>
      <c r="F24" s="626">
        <f t="shared" si="3"/>
        <v>0</v>
      </c>
      <c r="G24" s="624">
        <f t="shared" si="3"/>
        <v>0</v>
      </c>
      <c r="H24" s="627">
        <f t="shared" si="3"/>
        <v>0</v>
      </c>
      <c r="I24" s="628">
        <f t="shared" si="3"/>
        <v>0</v>
      </c>
      <c r="J24" s="624">
        <f t="shared" si="3"/>
        <v>0</v>
      </c>
      <c r="K24" s="625">
        <f t="shared" si="3"/>
        <v>0</v>
      </c>
      <c r="L24" s="247"/>
    </row>
    <row r="25" spans="1:12" ht="11.25" customHeight="1" x14ac:dyDescent="0.25">
      <c r="A25" s="2433" t="str">
        <f>'SA18'!A25</f>
        <v xml:space="preserve">  [insert description]</v>
      </c>
      <c r="B25" s="60"/>
      <c r="C25" s="2423"/>
      <c r="D25" s="2423"/>
      <c r="E25" s="2424"/>
      <c r="F25" s="2425"/>
      <c r="G25" s="2423"/>
      <c r="H25" s="2426"/>
      <c r="I25" s="2427"/>
      <c r="J25" s="2423"/>
      <c r="K25" s="2424"/>
      <c r="L25" s="247"/>
    </row>
    <row r="26" spans="1:12" ht="11.25" customHeight="1" x14ac:dyDescent="0.25">
      <c r="A26" s="2433"/>
      <c r="B26" s="60"/>
      <c r="C26" s="2428"/>
      <c r="D26" s="2428"/>
      <c r="E26" s="2429"/>
      <c r="F26" s="2430"/>
      <c r="G26" s="2428"/>
      <c r="H26" s="2431"/>
      <c r="I26" s="2432"/>
      <c r="J26" s="2428"/>
      <c r="K26" s="2429"/>
      <c r="L26" s="247"/>
    </row>
    <row r="27" spans="1:12" s="642" customFormat="1" ht="15.75" customHeight="1" x14ac:dyDescent="0.2">
      <c r="A27" s="635" t="s">
        <v>341</v>
      </c>
      <c r="B27" s="636"/>
      <c r="C27" s="637">
        <f t="shared" ref="C27:K27" si="4">C7+C15+C21+C24</f>
        <v>72029000</v>
      </c>
      <c r="D27" s="637">
        <f t="shared" si="4"/>
        <v>81274672.620000005</v>
      </c>
      <c r="E27" s="638">
        <f t="shared" si="4"/>
        <v>94712291</v>
      </c>
      <c r="F27" s="639">
        <f t="shared" si="4"/>
        <v>122308000</v>
      </c>
      <c r="G27" s="637">
        <f t="shared" si="4"/>
        <v>122308000</v>
      </c>
      <c r="H27" s="640">
        <f t="shared" si="4"/>
        <v>122308000</v>
      </c>
      <c r="I27" s="641">
        <f t="shared" si="4"/>
        <v>121374000</v>
      </c>
      <c r="J27" s="637">
        <f t="shared" si="4"/>
        <v>129936000</v>
      </c>
      <c r="K27" s="638">
        <f t="shared" si="4"/>
        <v>137610000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27406237.710000001</v>
      </c>
      <c r="D30" s="624">
        <f t="shared" ref="D30:K30" si="5">SUM(D31:D36)</f>
        <v>17905587.59</v>
      </c>
      <c r="E30" s="625">
        <f t="shared" si="5"/>
        <v>31583815</v>
      </c>
      <c r="F30" s="626">
        <f t="shared" si="5"/>
        <v>32405000</v>
      </c>
      <c r="G30" s="624">
        <f t="shared" si="5"/>
        <v>35416882</v>
      </c>
      <c r="H30" s="627">
        <f t="shared" si="5"/>
        <v>35416882</v>
      </c>
      <c r="I30" s="628">
        <f t="shared" si="5"/>
        <v>31917000</v>
      </c>
      <c r="J30" s="624">
        <f t="shared" si="5"/>
        <v>34179000</v>
      </c>
      <c r="K30" s="625">
        <f t="shared" si="5"/>
        <v>36987000</v>
      </c>
      <c r="L30" s="247"/>
    </row>
    <row r="31" spans="1:12" ht="11.25" customHeight="1" x14ac:dyDescent="0.25">
      <c r="A31" s="245" t="str">
        <f>IF('SA18'!A31="","",'SA18'!A31)</f>
        <v xml:space="preserve"> Municipal Infrastructure Grant (MIG)</v>
      </c>
      <c r="B31" s="60"/>
      <c r="C31" s="2423">
        <v>27406237.710000001</v>
      </c>
      <c r="D31" s="2424">
        <v>17905587.59</v>
      </c>
      <c r="E31" s="2424">
        <v>31583815</v>
      </c>
      <c r="F31" s="2425">
        <v>32405000</v>
      </c>
      <c r="G31" s="2423">
        <v>35416882</v>
      </c>
      <c r="H31" s="2423">
        <v>35416882</v>
      </c>
      <c r="I31" s="2427">
        <v>31917000</v>
      </c>
      <c r="J31" s="2423">
        <v>34179000</v>
      </c>
      <c r="K31" s="2424">
        <v>36987000</v>
      </c>
      <c r="L31" s="247"/>
    </row>
    <row r="32" spans="1:12" ht="11.25" customHeight="1" x14ac:dyDescent="0.25">
      <c r="A32" s="245" t="str">
        <f>IF('SA18'!A32="","",'SA18'!A32)</f>
        <v/>
      </c>
      <c r="B32" s="60"/>
      <c r="C32" s="2413"/>
      <c r="D32" s="2413"/>
      <c r="E32" s="2414"/>
      <c r="F32" s="2415"/>
      <c r="G32" s="2413"/>
      <c r="H32" s="2416"/>
      <c r="I32" s="2417"/>
      <c r="J32" s="2413"/>
      <c r="K32" s="2414"/>
      <c r="L32" s="247"/>
    </row>
    <row r="33" spans="1:15" ht="11.25" customHeight="1" x14ac:dyDescent="0.25">
      <c r="A33" s="245" t="str">
        <f>IF('SA18'!A33="","",'SA18'!A33)</f>
        <v/>
      </c>
      <c r="B33" s="60"/>
      <c r="C33" s="2413"/>
      <c r="D33" s="2413"/>
      <c r="E33" s="2414"/>
      <c r="F33" s="2415"/>
      <c r="G33" s="2413"/>
      <c r="H33" s="2416"/>
      <c r="I33" s="2417"/>
      <c r="J33" s="2413"/>
      <c r="K33" s="2414"/>
      <c r="L33" s="247"/>
    </row>
    <row r="34" spans="1:15" ht="11.25" customHeight="1" x14ac:dyDescent="0.25">
      <c r="A34" s="245" t="str">
        <f>IF('SA18'!A34="","",'SA18'!A34)</f>
        <v/>
      </c>
      <c r="B34" s="60"/>
      <c r="C34" s="2413"/>
      <c r="D34" s="2413"/>
      <c r="E34" s="2414"/>
      <c r="F34" s="2415"/>
      <c r="G34" s="2413"/>
      <c r="H34" s="2416"/>
      <c r="I34" s="2417"/>
      <c r="J34" s="2413"/>
      <c r="K34" s="2414"/>
      <c r="L34" s="247"/>
    </row>
    <row r="35" spans="1:15" ht="11.25" customHeight="1" x14ac:dyDescent="0.25">
      <c r="A35" s="245" t="str">
        <f>IF('SA18'!A35="","",'SA18'!A35)</f>
        <v/>
      </c>
      <c r="B35" s="60"/>
      <c r="C35" s="2413"/>
      <c r="D35" s="2413"/>
      <c r="E35" s="2414"/>
      <c r="F35" s="2415"/>
      <c r="G35" s="2413"/>
      <c r="H35" s="2416"/>
      <c r="I35" s="2417"/>
      <c r="J35" s="2413"/>
      <c r="K35" s="2414"/>
      <c r="L35" s="247"/>
    </row>
    <row r="36" spans="1:15" ht="11.25" customHeight="1" x14ac:dyDescent="0.25">
      <c r="A36" s="2422" t="str">
        <f>'SA18'!A36</f>
        <v xml:space="preserve">  Other capital transfers/grants [insert desc]</v>
      </c>
      <c r="B36" s="60"/>
      <c r="C36" s="2428"/>
      <c r="D36" s="2428"/>
      <c r="E36" s="2429"/>
      <c r="F36" s="2430"/>
      <c r="G36" s="2428"/>
      <c r="H36" s="2431"/>
      <c r="I36" s="2432"/>
      <c r="J36" s="2428"/>
      <c r="K36" s="2429"/>
      <c r="L36" s="247"/>
    </row>
    <row r="37" spans="1:15" ht="18" customHeight="1" x14ac:dyDescent="0.25">
      <c r="A37" s="643" t="str">
        <f>'SA18'!A37</f>
        <v>Provincial Government:</v>
      </c>
      <c r="B37" s="60"/>
      <c r="C37" s="624">
        <f>SUM(C38)</f>
        <v>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ht="25.5" x14ac:dyDescent="0.25">
      <c r="A38" s="2434" t="str">
        <f>'SA18'!A38</f>
        <v>Other capital transfers/grants [insert description]</v>
      </c>
      <c r="B38" s="60"/>
      <c r="C38" s="2435"/>
      <c r="D38" s="2435"/>
      <c r="E38" s="2436"/>
      <c r="F38" s="2437"/>
      <c r="G38" s="2435"/>
      <c r="H38" s="2438"/>
      <c r="I38" s="2439"/>
      <c r="J38" s="2435"/>
      <c r="K38" s="2436"/>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33" t="str">
        <f>'SA18'!A40</f>
        <v xml:space="preserve">  [insert description]</v>
      </c>
      <c r="B40" s="60"/>
      <c r="C40" s="2423"/>
      <c r="D40" s="2423"/>
      <c r="E40" s="2424"/>
      <c r="F40" s="2425"/>
      <c r="G40" s="2423"/>
      <c r="H40" s="2426"/>
      <c r="I40" s="2427"/>
      <c r="J40" s="2423"/>
      <c r="K40" s="2424"/>
      <c r="L40" s="247"/>
    </row>
    <row r="41" spans="1:15" ht="11.25" customHeight="1" x14ac:dyDescent="0.25">
      <c r="A41" s="2433"/>
      <c r="B41" s="60"/>
      <c r="C41" s="2428"/>
      <c r="D41" s="2428"/>
      <c r="E41" s="2429"/>
      <c r="F41" s="2430"/>
      <c r="G41" s="2428"/>
      <c r="H41" s="2431"/>
      <c r="I41" s="2432"/>
      <c r="J41" s="2428"/>
      <c r="K41" s="2429"/>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33" t="str">
        <f>'SA18'!A43</f>
        <v xml:space="preserve">  [insert description]</v>
      </c>
      <c r="B43" s="60"/>
      <c r="C43" s="2423"/>
      <c r="D43" s="2423"/>
      <c r="E43" s="2424"/>
      <c r="F43" s="2425"/>
      <c r="G43" s="2423"/>
      <c r="H43" s="2426"/>
      <c r="I43" s="2427"/>
      <c r="J43" s="2423"/>
      <c r="K43" s="2424"/>
      <c r="L43" s="247"/>
    </row>
    <row r="44" spans="1:15" ht="11.25" customHeight="1" x14ac:dyDescent="0.25">
      <c r="A44" s="2433"/>
      <c r="B44" s="60"/>
      <c r="C44" s="2428"/>
      <c r="D44" s="2428"/>
      <c r="E44" s="2429"/>
      <c r="F44" s="2430"/>
      <c r="G44" s="2428"/>
      <c r="H44" s="2431"/>
      <c r="I44" s="2432"/>
      <c r="J44" s="2428"/>
      <c r="K44" s="2429"/>
      <c r="L44" s="247"/>
    </row>
    <row r="45" spans="1:15" ht="15.75" customHeight="1" x14ac:dyDescent="0.25">
      <c r="A45" s="644" t="s">
        <v>343</v>
      </c>
      <c r="B45" s="645"/>
      <c r="C45" s="624">
        <f>C30+C37+C39+C42</f>
        <v>27406237.710000001</v>
      </c>
      <c r="D45" s="624">
        <f t="shared" ref="D45:K45" si="9">D30+D37+D39+D42</f>
        <v>17905587.59</v>
      </c>
      <c r="E45" s="625">
        <f t="shared" si="9"/>
        <v>31583815</v>
      </c>
      <c r="F45" s="626">
        <f t="shared" si="9"/>
        <v>32405000</v>
      </c>
      <c r="G45" s="624">
        <f t="shared" si="9"/>
        <v>35416882</v>
      </c>
      <c r="H45" s="627">
        <f t="shared" si="9"/>
        <v>35416882</v>
      </c>
      <c r="I45" s="628">
        <f t="shared" si="9"/>
        <v>31917000</v>
      </c>
      <c r="J45" s="624">
        <f t="shared" si="9"/>
        <v>34179000</v>
      </c>
      <c r="K45" s="625">
        <f t="shared" si="9"/>
        <v>36987000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540</v>
      </c>
      <c r="B47" s="1201"/>
      <c r="C47" s="648">
        <f t="shared" ref="C47:K47" si="10">C27+C45</f>
        <v>99435237.710000008</v>
      </c>
      <c r="D47" s="648">
        <f t="shared" si="10"/>
        <v>99180260.210000008</v>
      </c>
      <c r="E47" s="649">
        <f t="shared" si="10"/>
        <v>126296106</v>
      </c>
      <c r="F47" s="650">
        <f t="shared" si="10"/>
        <v>154713000</v>
      </c>
      <c r="G47" s="648">
        <f t="shared" si="10"/>
        <v>157724882</v>
      </c>
      <c r="H47" s="651">
        <f t="shared" si="10"/>
        <v>157724882</v>
      </c>
      <c r="I47" s="652">
        <f t="shared" si="10"/>
        <v>153291000</v>
      </c>
      <c r="J47" s="648">
        <f t="shared" si="10"/>
        <v>164115000</v>
      </c>
      <c r="K47" s="649">
        <f t="shared" si="10"/>
        <v>174597000</v>
      </c>
      <c r="L47" s="764"/>
    </row>
    <row r="48" spans="1:15" s="586" customFormat="1" ht="11.25" customHeight="1" x14ac:dyDescent="0.25">
      <c r="A48" s="1090" t="str">
        <f>head27a</f>
        <v>References</v>
      </c>
      <c r="B48" s="907"/>
      <c r="L48" s="946"/>
    </row>
    <row r="49" spans="1:12" s="586" customFormat="1" ht="11.25" customHeight="1" x14ac:dyDescent="0.25">
      <c r="A49" s="1052" t="s">
        <v>1346</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31" activePane="bottomRight" state="frozen"/>
      <selection pane="topRight"/>
      <selection pane="bottomLeft"/>
      <selection pane="bottomRight" activeCell="I60" sqref="I60"/>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LIM471 Ephraim Mogale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1173</v>
      </c>
      <c r="B6" s="60"/>
      <c r="C6" s="2440"/>
      <c r="D6" s="2440"/>
      <c r="E6" s="2441">
        <v>4204692</v>
      </c>
      <c r="F6" s="2442"/>
      <c r="G6" s="2440"/>
      <c r="H6" s="2441"/>
      <c r="I6" s="2443"/>
      <c r="J6" s="2440"/>
      <c r="K6" s="2444"/>
    </row>
    <row r="7" spans="1:11" ht="11.25" customHeight="1" x14ac:dyDescent="0.25">
      <c r="A7" s="245" t="s">
        <v>1174</v>
      </c>
      <c r="B7" s="60"/>
      <c r="C7" s="2440"/>
      <c r="D7" s="2440"/>
      <c r="E7" s="2441">
        <v>95427000</v>
      </c>
      <c r="F7" s="2442">
        <v>122308000</v>
      </c>
      <c r="G7" s="2440">
        <v>122308000</v>
      </c>
      <c r="H7" s="2441">
        <v>122308000</v>
      </c>
      <c r="I7" s="2443">
        <v>121374000</v>
      </c>
      <c r="J7" s="2440">
        <v>129936000</v>
      </c>
      <c r="K7" s="2444">
        <v>137610000</v>
      </c>
    </row>
    <row r="8" spans="1:11" ht="11.25" customHeight="1" x14ac:dyDescent="0.25">
      <c r="A8" s="659" t="s">
        <v>1172</v>
      </c>
      <c r="B8" s="60"/>
      <c r="C8" s="660">
        <f>C6+C7-C9</f>
        <v>0</v>
      </c>
      <c r="D8" s="661">
        <f t="shared" ref="D8:K8" si="0">D6+D7-D9</f>
        <v>0</v>
      </c>
      <c r="E8" s="662">
        <f t="shared" si="0"/>
        <v>94712292</v>
      </c>
      <c r="F8" s="663">
        <f t="shared" si="0"/>
        <v>122308000</v>
      </c>
      <c r="G8" s="661">
        <f t="shared" si="0"/>
        <v>122308000</v>
      </c>
      <c r="H8" s="664">
        <f t="shared" si="0"/>
        <v>122308000</v>
      </c>
      <c r="I8" s="665">
        <f t="shared" si="0"/>
        <v>121374000</v>
      </c>
      <c r="J8" s="661">
        <f t="shared" si="0"/>
        <v>129936000</v>
      </c>
      <c r="K8" s="662">
        <f t="shared" si="0"/>
        <v>137610000</v>
      </c>
    </row>
    <row r="9" spans="1:11" ht="11.25" customHeight="1" x14ac:dyDescent="0.25">
      <c r="A9" s="245" t="s">
        <v>443</v>
      </c>
      <c r="B9" s="60"/>
      <c r="C9" s="2440"/>
      <c r="D9" s="2440"/>
      <c r="E9" s="2441">
        <v>4919400</v>
      </c>
      <c r="F9" s="2442"/>
      <c r="G9" s="2440"/>
      <c r="H9" s="2441"/>
      <c r="I9" s="2443"/>
      <c r="J9" s="2440"/>
      <c r="K9" s="2444"/>
    </row>
    <row r="10" spans="1:11" ht="11.25" customHeight="1" x14ac:dyDescent="0.25">
      <c r="A10" s="643" t="s">
        <v>978</v>
      </c>
      <c r="B10" s="60"/>
      <c r="C10" s="666"/>
      <c r="D10" s="666"/>
      <c r="E10" s="627"/>
      <c r="F10" s="626"/>
      <c r="G10" s="624"/>
      <c r="H10" s="627"/>
      <c r="I10" s="628"/>
      <c r="J10" s="624"/>
      <c r="K10" s="625"/>
    </row>
    <row r="11" spans="1:11" ht="11.25" customHeight="1" x14ac:dyDescent="0.25">
      <c r="A11" s="245" t="s">
        <v>1173</v>
      </c>
      <c r="B11" s="60"/>
      <c r="C11" s="2440"/>
      <c r="D11" s="2440"/>
      <c r="E11" s="2441"/>
      <c r="F11" s="2442"/>
      <c r="G11" s="2440"/>
      <c r="H11" s="2441"/>
      <c r="I11" s="2443"/>
      <c r="J11" s="2440"/>
      <c r="K11" s="2444"/>
    </row>
    <row r="12" spans="1:11" ht="11.25" customHeight="1" x14ac:dyDescent="0.25">
      <c r="A12" s="667" t="str">
        <f>A7</f>
        <v>Current year receipts</v>
      </c>
      <c r="B12" s="60"/>
      <c r="C12" s="2440"/>
      <c r="D12" s="2440"/>
      <c r="E12" s="2441"/>
      <c r="F12" s="2442"/>
      <c r="G12" s="2440"/>
      <c r="H12" s="2441"/>
      <c r="I12" s="2443"/>
      <c r="J12" s="2440"/>
      <c r="K12" s="2444"/>
    </row>
    <row r="13" spans="1:11" ht="11.25" customHeight="1" x14ac:dyDescent="0.25">
      <c r="A13" s="669" t="str">
        <f>A8</f>
        <v>Conditions met - transferred to revenue</v>
      </c>
      <c r="B13" s="60"/>
      <c r="C13" s="660">
        <f t="shared" ref="C13:K13" si="1">C11+C12-C14</f>
        <v>0</v>
      </c>
      <c r="D13" s="661">
        <f t="shared" si="1"/>
        <v>0</v>
      </c>
      <c r="E13" s="662">
        <f t="shared" si="1"/>
        <v>0</v>
      </c>
      <c r="F13" s="663">
        <f t="shared" si="1"/>
        <v>0</v>
      </c>
      <c r="G13" s="661">
        <f t="shared" si="1"/>
        <v>0</v>
      </c>
      <c r="H13" s="664">
        <f t="shared" si="1"/>
        <v>0</v>
      </c>
      <c r="I13" s="665">
        <f t="shared" si="1"/>
        <v>0</v>
      </c>
      <c r="J13" s="661">
        <f t="shared" si="1"/>
        <v>0</v>
      </c>
      <c r="K13" s="662">
        <f t="shared" si="1"/>
        <v>0</v>
      </c>
    </row>
    <row r="14" spans="1:11" ht="11.25" customHeight="1" x14ac:dyDescent="0.25">
      <c r="A14" s="667" t="str">
        <f>A9</f>
        <v>Conditions still to be met - transferred to liabilities</v>
      </c>
      <c r="B14" s="60"/>
      <c r="C14" s="2440"/>
      <c r="D14" s="2440"/>
      <c r="E14" s="2441"/>
      <c r="F14" s="2442"/>
      <c r="G14" s="2440"/>
      <c r="H14" s="2441"/>
      <c r="I14" s="2443"/>
      <c r="J14" s="2440"/>
      <c r="K14" s="2444"/>
    </row>
    <row r="15" spans="1:11" ht="11.25" customHeight="1" x14ac:dyDescent="0.25">
      <c r="A15" s="643" t="s">
        <v>1013</v>
      </c>
      <c r="B15" s="60"/>
      <c r="C15" s="658"/>
      <c r="D15" s="658"/>
      <c r="E15" s="668"/>
      <c r="F15" s="655"/>
      <c r="G15" s="653"/>
      <c r="H15" s="654"/>
      <c r="I15" s="656"/>
      <c r="J15" s="653"/>
      <c r="K15" s="657"/>
    </row>
    <row r="16" spans="1:11" ht="11.25" customHeight="1" x14ac:dyDescent="0.25">
      <c r="A16" s="245" t="str">
        <f>A11</f>
        <v>Balance unspent at beginning of the year</v>
      </c>
      <c r="B16" s="60"/>
      <c r="C16" s="2440"/>
      <c r="D16" s="2440"/>
      <c r="E16" s="2441"/>
      <c r="F16" s="2442"/>
      <c r="G16" s="2440"/>
      <c r="H16" s="2441"/>
      <c r="I16" s="2443"/>
      <c r="J16" s="2440"/>
      <c r="K16" s="2444"/>
    </row>
    <row r="17" spans="1:11" ht="11.25" customHeight="1" x14ac:dyDescent="0.25">
      <c r="A17" s="667" t="str">
        <f>A12</f>
        <v>Current year receipts</v>
      </c>
      <c r="B17" s="60"/>
      <c r="C17" s="2440"/>
      <c r="D17" s="2440"/>
      <c r="E17" s="2441"/>
      <c r="F17" s="2442"/>
      <c r="G17" s="2440"/>
      <c r="H17" s="2441"/>
      <c r="I17" s="2443"/>
      <c r="J17" s="2440"/>
      <c r="K17" s="2444"/>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40"/>
      <c r="D19" s="2440"/>
      <c r="E19" s="2441"/>
      <c r="F19" s="2442"/>
      <c r="G19" s="2440"/>
      <c r="H19" s="2441"/>
      <c r="I19" s="2443"/>
      <c r="J19" s="2440"/>
      <c r="K19" s="2444"/>
    </row>
    <row r="20" spans="1:11" ht="11.25" customHeight="1" x14ac:dyDescent="0.25">
      <c r="A20" s="643" t="s">
        <v>563</v>
      </c>
      <c r="B20" s="60"/>
      <c r="C20" s="658"/>
      <c r="D20" s="658"/>
      <c r="E20" s="668"/>
      <c r="F20" s="655"/>
      <c r="G20" s="653"/>
      <c r="H20" s="654"/>
      <c r="I20" s="656"/>
      <c r="J20" s="653"/>
      <c r="K20" s="657"/>
    </row>
    <row r="21" spans="1:11" ht="11.25" customHeight="1" x14ac:dyDescent="0.25">
      <c r="A21" s="667" t="str">
        <f>A11</f>
        <v>Balance unspent at beginning of the year</v>
      </c>
      <c r="B21" s="60"/>
      <c r="C21" s="2440"/>
      <c r="D21" s="2440"/>
      <c r="E21" s="2441"/>
      <c r="F21" s="2442"/>
      <c r="G21" s="2440"/>
      <c r="H21" s="2441"/>
      <c r="I21" s="2443"/>
      <c r="J21" s="2440"/>
      <c r="K21" s="2444"/>
    </row>
    <row r="22" spans="1:11" ht="11.25" customHeight="1" x14ac:dyDescent="0.25">
      <c r="A22" s="667" t="str">
        <f>A12</f>
        <v>Current year receipts</v>
      </c>
      <c r="B22" s="60"/>
      <c r="C22" s="2440"/>
      <c r="D22" s="2440"/>
      <c r="E22" s="2441"/>
      <c r="F22" s="2442"/>
      <c r="G22" s="2440"/>
      <c r="H22" s="2441"/>
      <c r="I22" s="2443"/>
      <c r="J22" s="2440"/>
      <c r="K22" s="2444"/>
    </row>
    <row r="23" spans="1:11" ht="11.25" customHeight="1" x14ac:dyDescent="0.25">
      <c r="A23" s="669" t="str">
        <f>A13</f>
        <v>Conditions met - transferred to revenue</v>
      </c>
      <c r="B23" s="60"/>
      <c r="C23" s="660">
        <f t="shared" ref="C23:K23" si="3">C21+C22-C24</f>
        <v>0</v>
      </c>
      <c r="D23" s="661">
        <f t="shared" si="3"/>
        <v>0</v>
      </c>
      <c r="E23" s="662">
        <f t="shared" si="3"/>
        <v>0</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40"/>
      <c r="D24" s="2440"/>
      <c r="E24" s="2444"/>
      <c r="F24" s="2442"/>
      <c r="G24" s="2440"/>
      <c r="H24" s="2441"/>
      <c r="I24" s="2443"/>
      <c r="J24" s="2440"/>
      <c r="K24" s="2444"/>
    </row>
    <row r="25" spans="1:11" ht="11.25" customHeight="1" x14ac:dyDescent="0.25">
      <c r="A25" s="670" t="s">
        <v>337</v>
      </c>
      <c r="B25" s="671"/>
      <c r="C25" s="661">
        <f t="shared" ref="C25:K26" si="4">C8+C13+C18+C23</f>
        <v>0</v>
      </c>
      <c r="D25" s="661">
        <f t="shared" si="4"/>
        <v>0</v>
      </c>
      <c r="E25" s="662">
        <f t="shared" si="4"/>
        <v>94712292</v>
      </c>
      <c r="F25" s="663">
        <f t="shared" si="4"/>
        <v>122308000</v>
      </c>
      <c r="G25" s="661">
        <f t="shared" si="4"/>
        <v>122308000</v>
      </c>
      <c r="H25" s="664">
        <f t="shared" si="4"/>
        <v>122308000</v>
      </c>
      <c r="I25" s="665">
        <f t="shared" si="4"/>
        <v>121374000</v>
      </c>
      <c r="J25" s="661">
        <f t="shared" si="4"/>
        <v>129936000</v>
      </c>
      <c r="K25" s="662">
        <f t="shared" si="4"/>
        <v>137610000</v>
      </c>
    </row>
    <row r="26" spans="1:11" ht="11.25" customHeight="1" x14ac:dyDescent="0.25">
      <c r="A26" s="670" t="s">
        <v>338</v>
      </c>
      <c r="B26" s="671">
        <v>2</v>
      </c>
      <c r="C26" s="661">
        <f t="shared" si="4"/>
        <v>0</v>
      </c>
      <c r="D26" s="661">
        <f t="shared" si="4"/>
        <v>0</v>
      </c>
      <c r="E26" s="662">
        <f t="shared" si="4"/>
        <v>4919400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1173</v>
      </c>
      <c r="B30" s="60"/>
      <c r="C30" s="2440"/>
      <c r="D30" s="2440"/>
      <c r="E30" s="2441">
        <v>5221412</v>
      </c>
      <c r="F30" s="2442"/>
      <c r="G30" s="2440"/>
      <c r="H30" s="2441"/>
      <c r="I30" s="2443"/>
      <c r="J30" s="2440"/>
      <c r="K30" s="2444"/>
    </row>
    <row r="31" spans="1:11" ht="11.25" customHeight="1" x14ac:dyDescent="0.25">
      <c r="A31" s="245" t="s">
        <v>1174</v>
      </c>
      <c r="B31" s="60"/>
      <c r="C31" s="2413"/>
      <c r="D31" s="2413"/>
      <c r="E31" s="2416">
        <v>31070000</v>
      </c>
      <c r="F31" s="2415">
        <v>32405000</v>
      </c>
      <c r="G31" s="2413">
        <v>32855000</v>
      </c>
      <c r="H31" s="2413">
        <v>32855000</v>
      </c>
      <c r="I31" s="2417">
        <v>30400000</v>
      </c>
      <c r="J31" s="2413">
        <v>32570980</v>
      </c>
      <c r="K31" s="2414">
        <v>35282498.799999997</v>
      </c>
    </row>
    <row r="32" spans="1:11" ht="11.25" customHeight="1" x14ac:dyDescent="0.25">
      <c r="A32" s="659" t="s">
        <v>1172</v>
      </c>
      <c r="B32" s="60"/>
      <c r="C32" s="660">
        <f t="shared" ref="C32:K32" si="5">C30+C31-C33</f>
        <v>0</v>
      </c>
      <c r="D32" s="661">
        <f t="shared" si="5"/>
        <v>0</v>
      </c>
      <c r="E32" s="662">
        <f t="shared" si="5"/>
        <v>31583815</v>
      </c>
      <c r="F32" s="663">
        <f t="shared" si="5"/>
        <v>32405000</v>
      </c>
      <c r="G32" s="661">
        <f t="shared" si="5"/>
        <v>32855000</v>
      </c>
      <c r="H32" s="664">
        <f t="shared" si="5"/>
        <v>32855000</v>
      </c>
      <c r="I32" s="665">
        <f t="shared" si="5"/>
        <v>30400000</v>
      </c>
      <c r="J32" s="661">
        <f t="shared" si="5"/>
        <v>32570980</v>
      </c>
      <c r="K32" s="662">
        <f t="shared" si="5"/>
        <v>35282498.799999997</v>
      </c>
    </row>
    <row r="33" spans="1:15" ht="11.25" customHeight="1" x14ac:dyDescent="0.25">
      <c r="A33" s="245" t="s">
        <v>443</v>
      </c>
      <c r="B33" s="60"/>
      <c r="C33" s="2440"/>
      <c r="D33" s="2440"/>
      <c r="E33" s="2441">
        <v>4707597</v>
      </c>
      <c r="F33" s="2442"/>
      <c r="G33" s="2440"/>
      <c r="H33" s="2441"/>
      <c r="I33" s="2443"/>
      <c r="J33" s="2440"/>
      <c r="K33" s="2444"/>
    </row>
    <row r="34" spans="1:15" ht="11.25" customHeight="1" x14ac:dyDescent="0.25">
      <c r="A34" s="643" t="s">
        <v>978</v>
      </c>
      <c r="B34" s="60"/>
      <c r="C34" s="666"/>
      <c r="D34" s="666"/>
      <c r="E34" s="627"/>
      <c r="F34" s="626"/>
      <c r="G34" s="624"/>
      <c r="H34" s="627"/>
      <c r="I34" s="628"/>
      <c r="J34" s="624"/>
      <c r="K34" s="625"/>
    </row>
    <row r="35" spans="1:15" ht="11.25" customHeight="1" x14ac:dyDescent="0.25">
      <c r="A35" s="245" t="s">
        <v>1173</v>
      </c>
      <c r="B35" s="60"/>
      <c r="C35" s="2440"/>
      <c r="D35" s="2440"/>
      <c r="E35" s="2441"/>
      <c r="F35" s="2442"/>
      <c r="G35" s="2440"/>
      <c r="H35" s="2441"/>
      <c r="I35" s="2443"/>
      <c r="J35" s="2440"/>
      <c r="K35" s="2444"/>
    </row>
    <row r="36" spans="1:15" ht="11.25" customHeight="1" x14ac:dyDescent="0.25">
      <c r="A36" s="667" t="str">
        <f>A31</f>
        <v>Current year receipts</v>
      </c>
      <c r="B36" s="60"/>
      <c r="C36" s="2440"/>
      <c r="D36" s="2413"/>
      <c r="E36" s="2416"/>
      <c r="F36" s="2415"/>
      <c r="G36" s="2413"/>
      <c r="H36" s="2416"/>
      <c r="I36" s="2417"/>
      <c r="J36" s="2413"/>
      <c r="K36" s="2414"/>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40"/>
      <c r="D38" s="2440"/>
      <c r="E38" s="2441"/>
      <c r="F38" s="2442"/>
      <c r="G38" s="2440"/>
      <c r="H38" s="2441"/>
      <c r="I38" s="2443"/>
      <c r="J38" s="2440"/>
      <c r="K38" s="2444"/>
    </row>
    <row r="39" spans="1:15" ht="11.25" customHeight="1" x14ac:dyDescent="0.25">
      <c r="A39" s="643" t="s">
        <v>1013</v>
      </c>
      <c r="B39" s="60"/>
      <c r="C39" s="658"/>
      <c r="D39" s="658"/>
      <c r="E39" s="668"/>
      <c r="F39" s="655"/>
      <c r="G39" s="653"/>
      <c r="H39" s="654"/>
      <c r="I39" s="656"/>
      <c r="J39" s="653"/>
      <c r="K39" s="657"/>
    </row>
    <row r="40" spans="1:15" ht="11.25" customHeight="1" x14ac:dyDescent="0.25">
      <c r="A40" s="245" t="str">
        <f>A35</f>
        <v>Balance unspent at beginning of the year</v>
      </c>
      <c r="B40" s="60"/>
      <c r="C40" s="2440"/>
      <c r="D40" s="2440"/>
      <c r="E40" s="2441"/>
      <c r="F40" s="2442"/>
      <c r="G40" s="2440"/>
      <c r="H40" s="2441"/>
      <c r="I40" s="2443"/>
      <c r="J40" s="2440"/>
      <c r="K40" s="2444"/>
    </row>
    <row r="41" spans="1:15" ht="11.25" customHeight="1" x14ac:dyDescent="0.25">
      <c r="A41" s="667" t="str">
        <f>A36</f>
        <v>Current year receipts</v>
      </c>
      <c r="B41" s="60"/>
      <c r="C41" s="2440"/>
      <c r="D41" s="2440"/>
      <c r="E41" s="2441"/>
      <c r="F41" s="2442"/>
      <c r="G41" s="2440"/>
      <c r="H41" s="2441"/>
      <c r="I41" s="2443"/>
      <c r="J41" s="2440"/>
      <c r="K41" s="2444"/>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40"/>
      <c r="D43" s="2440"/>
      <c r="E43" s="2441"/>
      <c r="F43" s="2442"/>
      <c r="G43" s="2440"/>
      <c r="H43" s="2441"/>
      <c r="I43" s="2443"/>
      <c r="J43" s="2440"/>
      <c r="K43" s="2444"/>
    </row>
    <row r="44" spans="1:15" ht="11.25" customHeight="1" x14ac:dyDescent="0.25">
      <c r="A44" s="643" t="s">
        <v>563</v>
      </c>
      <c r="B44" s="60"/>
      <c r="C44" s="658"/>
      <c r="D44" s="658"/>
      <c r="E44" s="668"/>
      <c r="F44" s="655"/>
      <c r="G44" s="653"/>
      <c r="H44" s="654"/>
      <c r="I44" s="656"/>
      <c r="J44" s="653"/>
      <c r="K44" s="657"/>
    </row>
    <row r="45" spans="1:15" ht="11.25" customHeight="1" x14ac:dyDescent="0.25">
      <c r="A45" s="667" t="str">
        <f>A35</f>
        <v>Balance unspent at beginning of the year</v>
      </c>
      <c r="B45" s="60"/>
      <c r="C45" s="2440"/>
      <c r="D45" s="2440"/>
      <c r="E45" s="2441"/>
      <c r="F45" s="2442"/>
      <c r="G45" s="2440"/>
      <c r="H45" s="2441"/>
      <c r="I45" s="2443"/>
      <c r="J45" s="2440"/>
      <c r="K45" s="2444"/>
    </row>
    <row r="46" spans="1:15" ht="11.25" customHeight="1" x14ac:dyDescent="0.25">
      <c r="A46" s="667" t="str">
        <f>A36</f>
        <v>Current year receipts</v>
      </c>
      <c r="B46" s="60"/>
      <c r="C46" s="2440"/>
      <c r="D46" s="2440"/>
      <c r="E46" s="2441"/>
      <c r="F46" s="2442"/>
      <c r="G46" s="2440"/>
      <c r="H46" s="2441"/>
      <c r="I46" s="2443"/>
      <c r="J46" s="2440"/>
      <c r="K46" s="2444"/>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40"/>
      <c r="D48" s="2440"/>
      <c r="E48" s="2444"/>
      <c r="F48" s="2442"/>
      <c r="G48" s="2440"/>
      <c r="H48" s="2441"/>
      <c r="I48" s="2443"/>
      <c r="J48" s="2440"/>
      <c r="K48" s="2444"/>
    </row>
    <row r="49" spans="1:11" x14ac:dyDescent="0.25">
      <c r="A49" s="670" t="s">
        <v>586</v>
      </c>
      <c r="B49" s="671"/>
      <c r="C49" s="672">
        <f t="shared" ref="C49:K50" si="9">C32+C37+C42+C47</f>
        <v>0</v>
      </c>
      <c r="D49" s="672">
        <f t="shared" si="9"/>
        <v>0</v>
      </c>
      <c r="E49" s="673">
        <f t="shared" si="9"/>
        <v>31583815</v>
      </c>
      <c r="F49" s="674">
        <f t="shared" si="9"/>
        <v>32405000</v>
      </c>
      <c r="G49" s="672">
        <f t="shared" si="9"/>
        <v>32855000</v>
      </c>
      <c r="H49" s="675">
        <f t="shared" si="9"/>
        <v>32855000</v>
      </c>
      <c r="I49" s="676">
        <f t="shared" si="9"/>
        <v>30400000</v>
      </c>
      <c r="J49" s="672">
        <f t="shared" si="9"/>
        <v>32570980</v>
      </c>
      <c r="K49" s="673">
        <f t="shared" si="9"/>
        <v>35282498.799999997</v>
      </c>
    </row>
    <row r="50" spans="1:11" x14ac:dyDescent="0.25">
      <c r="A50" s="670" t="s">
        <v>339</v>
      </c>
      <c r="B50" s="671">
        <v>2</v>
      </c>
      <c r="C50" s="672">
        <f t="shared" si="9"/>
        <v>0</v>
      </c>
      <c r="D50" s="672">
        <f t="shared" si="9"/>
        <v>0</v>
      </c>
      <c r="E50" s="673">
        <f t="shared" si="9"/>
        <v>4707597</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0</v>
      </c>
      <c r="D52" s="962">
        <f t="shared" si="10"/>
        <v>0</v>
      </c>
      <c r="E52" s="963">
        <f t="shared" si="10"/>
        <v>126296107</v>
      </c>
      <c r="F52" s="964">
        <f t="shared" si="10"/>
        <v>154713000</v>
      </c>
      <c r="G52" s="962">
        <f t="shared" si="10"/>
        <v>155163000</v>
      </c>
      <c r="H52" s="965">
        <f t="shared" si="10"/>
        <v>155163000</v>
      </c>
      <c r="I52" s="966">
        <f t="shared" si="10"/>
        <v>151774000</v>
      </c>
      <c r="J52" s="962">
        <f t="shared" si="10"/>
        <v>162506980</v>
      </c>
      <c r="K52" s="963">
        <f t="shared" si="10"/>
        <v>172892498.80000001</v>
      </c>
    </row>
    <row r="53" spans="1:11" ht="11.25" customHeight="1" x14ac:dyDescent="0.25">
      <c r="A53" s="159" t="s">
        <v>1377</v>
      </c>
      <c r="B53" s="103"/>
      <c r="C53" s="605">
        <f>C26+C50</f>
        <v>0</v>
      </c>
      <c r="D53" s="605">
        <f t="shared" ref="D53:K53" si="11">D26+D50</f>
        <v>0</v>
      </c>
      <c r="E53" s="606">
        <f t="shared" si="11"/>
        <v>9626997</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73" t="s">
        <v>585</v>
      </c>
      <c r="B55" s="2673"/>
      <c r="C55" s="2673"/>
      <c r="D55" s="2673"/>
      <c r="E55" s="2673"/>
      <c r="F55" s="2673"/>
      <c r="G55" s="2673"/>
      <c r="H55" s="2673"/>
      <c r="I55" s="2673"/>
      <c r="J55" s="2673"/>
      <c r="K55" s="2673"/>
    </row>
    <row r="56" spans="1:11" s="586" customFormat="1" ht="11.25" customHeight="1" x14ac:dyDescent="0.25">
      <c r="A56" s="2673" t="s">
        <v>273</v>
      </c>
      <c r="B56" s="2673"/>
      <c r="C56" s="2673"/>
      <c r="D56" s="2673"/>
      <c r="E56" s="2673"/>
      <c r="F56" s="2673"/>
      <c r="G56" s="2673"/>
      <c r="H56" s="2673"/>
      <c r="I56" s="2673"/>
      <c r="J56" s="2673"/>
      <c r="K56" s="2673"/>
    </row>
    <row r="57" spans="1:11" s="586" customFormat="1" ht="11.25" customHeight="1" x14ac:dyDescent="0.25">
      <c r="A57" s="2673" t="s">
        <v>843</v>
      </c>
      <c r="B57" s="2673"/>
      <c r="C57" s="2673"/>
      <c r="D57" s="2673"/>
      <c r="E57" s="2673"/>
      <c r="F57" s="2673"/>
      <c r="G57" s="2673"/>
      <c r="H57" s="2673"/>
      <c r="I57" s="2673"/>
      <c r="J57" s="2673"/>
      <c r="K57" s="2673"/>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-76140048</v>
      </c>
      <c r="D59" s="240">
        <f>D25-'A4-FinPerf RE'!D19</f>
        <v>-81383968</v>
      </c>
      <c r="E59" s="240">
        <f>E25-'A4-FinPerf RE'!E19</f>
        <v>1</v>
      </c>
      <c r="F59" s="240">
        <f>F25-'A4-FinPerf RE'!F19</f>
        <v>0</v>
      </c>
      <c r="G59" s="240">
        <f>G25-'A4-FinPerf RE'!G19</f>
        <v>0</v>
      </c>
      <c r="H59" s="240">
        <f>H25-'A4-FinPerf RE'!H19</f>
        <v>0</v>
      </c>
      <c r="I59" s="240">
        <f>I25-'A4-FinPerf RE'!J19</f>
        <v>0</v>
      </c>
      <c r="J59" s="240">
        <f>J25-'A4-FinPerf RE'!K19</f>
        <v>0</v>
      </c>
      <c r="K59" s="240">
        <f>K25-'A4-FinPerf RE'!L19</f>
        <v>0</v>
      </c>
    </row>
    <row r="60" spans="1:11" ht="11.25" customHeight="1" x14ac:dyDescent="0.25">
      <c r="A60" s="314" t="s">
        <v>445</v>
      </c>
      <c r="C60" s="240">
        <f>C49-'A5-Capex'!C70</f>
        <v>-27406237.710000001</v>
      </c>
      <c r="D60" s="240">
        <f>D49-'A5-Capex'!D70</f>
        <v>-17905587.59</v>
      </c>
      <c r="E60" s="240">
        <f>E49-'A5-Capex'!E70</f>
        <v>0</v>
      </c>
      <c r="F60" s="240">
        <f>F49-'A5-Capex'!F70</f>
        <v>0</v>
      </c>
      <c r="G60" s="240">
        <f>G49-'A5-Capex'!G70</f>
        <v>0</v>
      </c>
      <c r="H60" s="240">
        <f>H49-'A5-Capex'!H70</f>
        <v>0</v>
      </c>
      <c r="I60" s="240">
        <f>I49-'A5-Capex'!J70</f>
        <v>0</v>
      </c>
      <c r="J60" s="240">
        <f>J49-'A5-Capex'!K70</f>
        <v>0</v>
      </c>
      <c r="K60" s="240">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A55" zoomScale="110" zoomScaleNormal="110" zoomScaleSheetLayoutView="100" workbookViewId="0">
      <selection activeCell="J29" sqref="J29"/>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LIM471 Ephraim Mogale - Supporting Table SA21 Transfers and grants made by the municipality</v>
      </c>
      <c r="B1" s="25"/>
      <c r="C1" s="25"/>
      <c r="D1" s="25"/>
      <c r="E1" s="25"/>
      <c r="F1" s="25"/>
      <c r="G1" s="25"/>
      <c r="H1" s="25"/>
      <c r="I1" s="25"/>
      <c r="J1" s="25"/>
      <c r="K1" s="25"/>
      <c r="L1" s="25"/>
    </row>
    <row r="2" spans="1:12" ht="28.5" customHeight="1" x14ac:dyDescent="0.25">
      <c r="A2" s="1602" t="str">
        <f>desc</f>
        <v>Description</v>
      </c>
      <c r="B2" s="1603" t="str">
        <f>head27</f>
        <v>Ref</v>
      </c>
      <c r="C2" s="28" t="str">
        <f>head1b</f>
        <v>2012/13</v>
      </c>
      <c r="D2" s="629" t="str">
        <f>head1A</f>
        <v>2013/14</v>
      </c>
      <c r="E2" s="24" t="str">
        <f>Head1</f>
        <v>2014/15</v>
      </c>
      <c r="F2" s="2653" t="str">
        <f>Head2</f>
        <v>Current Year 2015/16</v>
      </c>
      <c r="G2" s="2654"/>
      <c r="H2" s="2654"/>
      <c r="I2" s="2658"/>
      <c r="J2" s="2650" t="str">
        <f>Head3</f>
        <v>2016/17 Medium Term Revenue &amp; Expenditure Framework</v>
      </c>
      <c r="K2" s="2651"/>
      <c r="L2" s="2652"/>
    </row>
    <row r="3" spans="1:12" ht="25.5" x14ac:dyDescent="0.25">
      <c r="A3" s="58" t="s">
        <v>625</v>
      </c>
      <c r="B3" s="1604"/>
      <c r="C3" s="267" t="str">
        <f>Head5</f>
        <v>Audited Outcome</v>
      </c>
      <c r="D3" s="871" t="str">
        <f>Head5</f>
        <v>Audited Outcome</v>
      </c>
      <c r="E3" s="268" t="str">
        <f>Head5</f>
        <v>Audited Outcome</v>
      </c>
      <c r="F3" s="177" t="str">
        <f>Head6</f>
        <v>Original Budget</v>
      </c>
      <c r="G3" s="267" t="str">
        <f>Head7</f>
        <v>Adjusted Budget</v>
      </c>
      <c r="H3" s="266" t="str">
        <f>Head8</f>
        <v>Full Year Forecast</v>
      </c>
      <c r="I3" s="1667" t="str">
        <f>Head5b</f>
        <v>Pre-audit outcome</v>
      </c>
      <c r="J3" s="266" t="str">
        <f>Head9</f>
        <v>Budget Year 2016/17</v>
      </c>
      <c r="K3" s="267" t="str">
        <f>Head10</f>
        <v>Budget Year +1 2017/18</v>
      </c>
      <c r="L3" s="268" t="str">
        <f>Head11</f>
        <v>Budget Year +2 2018/19</v>
      </c>
    </row>
    <row r="4" spans="1:12" ht="5.25" customHeight="1" x14ac:dyDescent="0.25">
      <c r="A4" s="1652"/>
      <c r="B4" s="1653"/>
      <c r="C4" s="30"/>
      <c r="D4" s="1649"/>
      <c r="E4" s="31"/>
      <c r="F4" s="29"/>
      <c r="G4" s="30"/>
      <c r="H4" s="32"/>
      <c r="I4" s="536"/>
      <c r="J4" s="32"/>
      <c r="K4" s="30"/>
      <c r="L4" s="31"/>
    </row>
    <row r="5" spans="1:12" ht="11.25" customHeight="1" x14ac:dyDescent="0.25">
      <c r="A5" s="127" t="s">
        <v>1936</v>
      </c>
      <c r="B5" s="1605"/>
      <c r="C5" s="81"/>
      <c r="D5" s="81"/>
      <c r="E5" s="82"/>
      <c r="F5" s="83"/>
      <c r="G5" s="81"/>
      <c r="H5" s="1661"/>
      <c r="I5" s="463"/>
      <c r="J5" s="80"/>
      <c r="K5" s="81"/>
      <c r="L5" s="82"/>
    </row>
    <row r="6" spans="1:12" ht="12" customHeight="1" x14ac:dyDescent="0.25">
      <c r="A6" s="2445" t="s">
        <v>1046</v>
      </c>
      <c r="B6" s="1605">
        <v>1</v>
      </c>
      <c r="C6" s="2088"/>
      <c r="D6" s="2088"/>
      <c r="E6" s="2106"/>
      <c r="F6" s="2107"/>
      <c r="G6" s="2088"/>
      <c r="H6" s="2089"/>
      <c r="I6" s="2109"/>
      <c r="J6" s="2108"/>
      <c r="K6" s="2088"/>
      <c r="L6" s="2106"/>
    </row>
    <row r="7" spans="1:12" ht="11.25" customHeight="1" x14ac:dyDescent="0.25">
      <c r="A7" s="2446"/>
      <c r="B7" s="1605"/>
      <c r="C7" s="2088"/>
      <c r="D7" s="2088"/>
      <c r="E7" s="2106"/>
      <c r="F7" s="2107"/>
      <c r="G7" s="2088"/>
      <c r="H7" s="2089"/>
      <c r="I7" s="2109"/>
      <c r="J7" s="2108"/>
      <c r="K7" s="2088"/>
      <c r="L7" s="2106"/>
    </row>
    <row r="8" spans="1:12" ht="11.25" customHeight="1" x14ac:dyDescent="0.25">
      <c r="A8" s="2446"/>
      <c r="B8" s="1605"/>
      <c r="C8" s="2088"/>
      <c r="D8" s="2088"/>
      <c r="E8" s="2106"/>
      <c r="F8" s="2107"/>
      <c r="G8" s="2088"/>
      <c r="H8" s="2089"/>
      <c r="I8" s="2109"/>
      <c r="J8" s="2108"/>
      <c r="K8" s="2088"/>
      <c r="L8" s="2106"/>
    </row>
    <row r="9" spans="1:12" ht="11.25" customHeight="1" x14ac:dyDescent="0.25">
      <c r="A9" s="670" t="s">
        <v>1938</v>
      </c>
      <c r="B9" s="1606"/>
      <c r="C9" s="154">
        <f>SUM(C6:C8)</f>
        <v>0</v>
      </c>
      <c r="D9" s="154">
        <f t="shared" ref="D9:L9" si="0">SUM(D6:D8)</f>
        <v>0</v>
      </c>
      <c r="E9" s="155">
        <f t="shared" si="0"/>
        <v>0</v>
      </c>
      <c r="F9" s="156">
        <f t="shared" si="0"/>
        <v>0</v>
      </c>
      <c r="G9" s="154">
        <f t="shared" si="0"/>
        <v>0</v>
      </c>
      <c r="H9" s="1662">
        <f t="shared" si="0"/>
        <v>0</v>
      </c>
      <c r="I9" s="1668">
        <f t="shared" si="0"/>
        <v>0</v>
      </c>
      <c r="J9" s="153">
        <f t="shared" si="0"/>
        <v>0</v>
      </c>
      <c r="K9" s="154">
        <f t="shared" si="0"/>
        <v>0</v>
      </c>
      <c r="L9" s="155">
        <f t="shared" si="0"/>
        <v>0</v>
      </c>
    </row>
    <row r="10" spans="1:12" ht="6" customHeight="1" x14ac:dyDescent="0.25">
      <c r="A10" s="151"/>
      <c r="B10" s="1605"/>
      <c r="C10" s="81"/>
      <c r="D10" s="81"/>
      <c r="E10" s="82"/>
      <c r="F10" s="83"/>
      <c r="G10" s="81"/>
      <c r="H10" s="1661"/>
      <c r="I10" s="463"/>
      <c r="J10" s="80"/>
      <c r="K10" s="81"/>
      <c r="L10" s="82"/>
    </row>
    <row r="11" spans="1:12" ht="11.25" customHeight="1" x14ac:dyDescent="0.25">
      <c r="A11" s="683" t="s">
        <v>1939</v>
      </c>
      <c r="B11" s="1607"/>
      <c r="C11" s="85"/>
      <c r="D11" s="85"/>
      <c r="E11" s="142"/>
      <c r="F11" s="129"/>
      <c r="G11" s="85"/>
      <c r="H11" s="435"/>
      <c r="I11" s="929"/>
      <c r="J11" s="88"/>
      <c r="K11" s="85"/>
      <c r="L11" s="142"/>
    </row>
    <row r="12" spans="1:12" ht="11.25" customHeight="1" x14ac:dyDescent="0.25">
      <c r="A12" s="2445" t="str">
        <f>$A$6</f>
        <v>Insert description</v>
      </c>
      <c r="B12" s="1607">
        <v>2</v>
      </c>
      <c r="C12" s="2088"/>
      <c r="D12" s="2088"/>
      <c r="E12" s="2106"/>
      <c r="F12" s="2107"/>
      <c r="G12" s="2088"/>
      <c r="H12" s="2089"/>
      <c r="I12" s="2109"/>
      <c r="J12" s="2108"/>
      <c r="K12" s="2088"/>
      <c r="L12" s="2106"/>
    </row>
    <row r="13" spans="1:12" ht="11.25" customHeight="1" x14ac:dyDescent="0.25">
      <c r="A13" s="2418"/>
      <c r="B13" s="1607"/>
      <c r="C13" s="2088"/>
      <c r="D13" s="2088"/>
      <c r="E13" s="2106"/>
      <c r="F13" s="2107"/>
      <c r="G13" s="2088"/>
      <c r="H13" s="2089"/>
      <c r="I13" s="2109"/>
      <c r="J13" s="2108"/>
      <c r="K13" s="2088"/>
      <c r="L13" s="2106"/>
    </row>
    <row r="14" spans="1:12" ht="11.25" customHeight="1" x14ac:dyDescent="0.25">
      <c r="A14" s="2418"/>
      <c r="B14" s="1607"/>
      <c r="C14" s="2088"/>
      <c r="D14" s="2088"/>
      <c r="E14" s="2106"/>
      <c r="F14" s="2107"/>
      <c r="G14" s="2088"/>
      <c r="H14" s="2089"/>
      <c r="I14" s="2109"/>
      <c r="J14" s="2108"/>
      <c r="K14" s="2088"/>
      <c r="L14" s="2106"/>
    </row>
    <row r="15" spans="1:12" ht="11.25" customHeight="1" x14ac:dyDescent="0.25">
      <c r="A15" s="684" t="s">
        <v>1940</v>
      </c>
      <c r="B15" s="1608"/>
      <c r="C15" s="686">
        <f>SUM(C12:C14)</f>
        <v>0</v>
      </c>
      <c r="D15" s="686">
        <f t="shared" ref="D15:L15" si="1">SUM(D12:D14)</f>
        <v>0</v>
      </c>
      <c r="E15" s="687">
        <f t="shared" si="1"/>
        <v>0</v>
      </c>
      <c r="F15" s="688">
        <f t="shared" si="1"/>
        <v>0</v>
      </c>
      <c r="G15" s="686">
        <f t="shared" si="1"/>
        <v>0</v>
      </c>
      <c r="H15" s="1663">
        <f t="shared" si="1"/>
        <v>0</v>
      </c>
      <c r="I15" s="1669">
        <f t="shared" si="1"/>
        <v>0</v>
      </c>
      <c r="J15" s="689">
        <f t="shared" si="1"/>
        <v>0</v>
      </c>
      <c r="K15" s="686">
        <f t="shared" si="1"/>
        <v>0</v>
      </c>
      <c r="L15" s="687">
        <f t="shared" si="1"/>
        <v>0</v>
      </c>
    </row>
    <row r="16" spans="1:12" x14ac:dyDescent="0.25">
      <c r="A16" s="527"/>
      <c r="B16" s="1607"/>
      <c r="C16" s="271"/>
      <c r="D16" s="271"/>
      <c r="E16" s="223"/>
      <c r="F16" s="272"/>
      <c r="G16" s="271"/>
      <c r="H16" s="1664"/>
      <c r="I16" s="1670"/>
      <c r="J16" s="273"/>
      <c r="K16" s="271"/>
      <c r="L16" s="223"/>
    </row>
    <row r="17" spans="1:12" ht="11.25" customHeight="1" x14ac:dyDescent="0.25">
      <c r="A17" s="683" t="s">
        <v>1941</v>
      </c>
      <c r="B17" s="1607"/>
      <c r="C17" s="85"/>
      <c r="D17" s="85"/>
      <c r="E17" s="142"/>
      <c r="F17" s="129"/>
      <c r="G17" s="85"/>
      <c r="H17" s="435"/>
      <c r="I17" s="929"/>
      <c r="J17" s="88"/>
      <c r="K17" s="85"/>
      <c r="L17" s="142"/>
    </row>
    <row r="18" spans="1:12" ht="11.25" customHeight="1" x14ac:dyDescent="0.25">
      <c r="A18" s="2445" t="str">
        <f>$A$6</f>
        <v>Insert description</v>
      </c>
      <c r="B18" s="1607">
        <v>3</v>
      </c>
      <c r="C18" s="2088"/>
      <c r="D18" s="2088"/>
      <c r="E18" s="2106"/>
      <c r="F18" s="2107"/>
      <c r="G18" s="2088"/>
      <c r="H18" s="2089"/>
      <c r="I18" s="2109"/>
      <c r="J18" s="2108"/>
      <c r="K18" s="2088"/>
      <c r="L18" s="2106"/>
    </row>
    <row r="19" spans="1:12" ht="11.25" customHeight="1" x14ac:dyDescent="0.25">
      <c r="A19" s="2418"/>
      <c r="B19" s="1607"/>
      <c r="C19" s="2088"/>
      <c r="D19" s="2088"/>
      <c r="E19" s="2106"/>
      <c r="F19" s="2107"/>
      <c r="G19" s="2088"/>
      <c r="H19" s="2089"/>
      <c r="I19" s="2109"/>
      <c r="J19" s="2108"/>
      <c r="K19" s="2088"/>
      <c r="L19" s="2106"/>
    </row>
    <row r="20" spans="1:12" ht="11.25" customHeight="1" x14ac:dyDescent="0.25">
      <c r="A20" s="2418"/>
      <c r="B20" s="1607"/>
      <c r="C20" s="2088"/>
      <c r="D20" s="2088"/>
      <c r="E20" s="2106"/>
      <c r="F20" s="2107"/>
      <c r="G20" s="2088"/>
      <c r="H20" s="2089"/>
      <c r="I20" s="2109"/>
      <c r="J20" s="2108"/>
      <c r="K20" s="2088"/>
      <c r="L20" s="2106"/>
    </row>
    <row r="21" spans="1:12" ht="11.25" customHeight="1" x14ac:dyDescent="0.25">
      <c r="A21" s="684" t="s">
        <v>1942</v>
      </c>
      <c r="B21" s="1608"/>
      <c r="C21" s="686">
        <f>SUM(C18:C20)</f>
        <v>0</v>
      </c>
      <c r="D21" s="686">
        <f t="shared" ref="D21:L21" si="2">SUM(D18:D20)</f>
        <v>0</v>
      </c>
      <c r="E21" s="687">
        <f t="shared" si="2"/>
        <v>0</v>
      </c>
      <c r="F21" s="688">
        <f t="shared" si="2"/>
        <v>0</v>
      </c>
      <c r="G21" s="686">
        <f t="shared" si="2"/>
        <v>0</v>
      </c>
      <c r="H21" s="1663">
        <f t="shared" si="2"/>
        <v>0</v>
      </c>
      <c r="I21" s="1669">
        <f t="shared" si="2"/>
        <v>0</v>
      </c>
      <c r="J21" s="689">
        <f t="shared" si="2"/>
        <v>0</v>
      </c>
      <c r="K21" s="686">
        <f>SUM(K18:K20)</f>
        <v>0</v>
      </c>
      <c r="L21" s="687">
        <f t="shared" si="2"/>
        <v>0</v>
      </c>
    </row>
    <row r="22" spans="1:12" ht="11.25" customHeight="1" x14ac:dyDescent="0.25">
      <c r="A22" s="527"/>
      <c r="B22" s="1607"/>
      <c r="C22" s="271"/>
      <c r="D22" s="271"/>
      <c r="E22" s="223"/>
      <c r="F22" s="272"/>
      <c r="G22" s="271"/>
      <c r="H22" s="1664"/>
      <c r="I22" s="1670"/>
      <c r="J22" s="273"/>
      <c r="K22" s="271"/>
      <c r="L22" s="223"/>
    </row>
    <row r="23" spans="1:12" ht="11.25" customHeight="1" x14ac:dyDescent="0.25">
      <c r="A23" s="683" t="s">
        <v>1943</v>
      </c>
      <c r="B23" s="1607"/>
      <c r="C23" s="85"/>
      <c r="D23" s="85"/>
      <c r="E23" s="142"/>
      <c r="F23" s="129"/>
      <c r="G23" s="85"/>
      <c r="H23" s="435"/>
      <c r="I23" s="929"/>
      <c r="J23" s="88"/>
      <c r="K23" s="85"/>
      <c r="L23" s="142"/>
    </row>
    <row r="24" spans="1:12" ht="11.25" customHeight="1" x14ac:dyDescent="0.25">
      <c r="A24" s="2445" t="str">
        <f>$A$6</f>
        <v>Insert description</v>
      </c>
      <c r="B24" s="1607"/>
      <c r="C24" s="2088"/>
      <c r="D24" s="2088"/>
      <c r="E24" s="2106"/>
      <c r="F24" s="2107"/>
      <c r="G24" s="2088"/>
      <c r="H24" s="2089"/>
      <c r="I24" s="2109"/>
      <c r="J24" s="2108"/>
      <c r="K24" s="2088"/>
      <c r="L24" s="2106"/>
    </row>
    <row r="25" spans="1:12" ht="11.25" customHeight="1" x14ac:dyDescent="0.25">
      <c r="A25" s="2418"/>
      <c r="B25" s="1607"/>
      <c r="C25" s="2088"/>
      <c r="D25" s="2088"/>
      <c r="E25" s="2106"/>
      <c r="F25" s="2107"/>
      <c r="G25" s="2088"/>
      <c r="H25" s="2089"/>
      <c r="I25" s="2109"/>
      <c r="J25" s="2108"/>
      <c r="K25" s="2088"/>
      <c r="L25" s="2106"/>
    </row>
    <row r="26" spans="1:12" ht="12" customHeight="1" x14ac:dyDescent="0.25">
      <c r="A26" s="1422" t="s">
        <v>1944</v>
      </c>
      <c r="B26" s="1608"/>
      <c r="C26" s="686">
        <f t="shared" ref="C26:L26" si="3">SUM(C24:C25)</f>
        <v>0</v>
      </c>
      <c r="D26" s="686">
        <f t="shared" si="3"/>
        <v>0</v>
      </c>
      <c r="E26" s="687">
        <f t="shared" si="3"/>
        <v>0</v>
      </c>
      <c r="F26" s="688">
        <f t="shared" si="3"/>
        <v>0</v>
      </c>
      <c r="G26" s="686">
        <f t="shared" si="3"/>
        <v>0</v>
      </c>
      <c r="H26" s="1663">
        <f t="shared" si="3"/>
        <v>0</v>
      </c>
      <c r="I26" s="1669">
        <f t="shared" si="3"/>
        <v>0</v>
      </c>
      <c r="J26" s="689">
        <f t="shared" si="3"/>
        <v>0</v>
      </c>
      <c r="K26" s="686">
        <f t="shared" si="3"/>
        <v>0</v>
      </c>
      <c r="L26" s="687">
        <f t="shared" si="3"/>
        <v>0</v>
      </c>
    </row>
    <row r="27" spans="1:12" ht="12" customHeight="1" x14ac:dyDescent="0.25">
      <c r="A27" s="1651"/>
      <c r="B27" s="1607"/>
      <c r="C27" s="271"/>
      <c r="D27" s="271"/>
      <c r="E27" s="223"/>
      <c r="F27" s="272"/>
      <c r="G27" s="271"/>
      <c r="H27" s="1664"/>
      <c r="I27" s="1670"/>
      <c r="J27" s="273"/>
      <c r="K27" s="271"/>
      <c r="L27" s="223"/>
    </row>
    <row r="28" spans="1:12" x14ac:dyDescent="0.25">
      <c r="A28" s="683" t="s">
        <v>1945</v>
      </c>
      <c r="B28" s="1607"/>
      <c r="C28" s="85"/>
      <c r="D28" s="85"/>
      <c r="E28" s="142"/>
      <c r="F28" s="129"/>
      <c r="G28" s="85"/>
      <c r="H28" s="435"/>
      <c r="I28" s="929"/>
      <c r="J28" s="88"/>
      <c r="K28" s="85"/>
      <c r="L28" s="142"/>
    </row>
    <row r="29" spans="1:12" ht="11.25" customHeight="1" x14ac:dyDescent="0.25">
      <c r="A29" s="2445" t="s">
        <v>2294</v>
      </c>
      <c r="B29" s="1607"/>
      <c r="C29" s="2088"/>
      <c r="D29" s="2088">
        <v>1173633</v>
      </c>
      <c r="E29" s="2106">
        <v>1587562</v>
      </c>
      <c r="F29" s="2107">
        <v>2467175</v>
      </c>
      <c r="G29" s="2107">
        <v>2467175</v>
      </c>
      <c r="H29" s="2107">
        <v>2467175</v>
      </c>
      <c r="I29" s="2107">
        <v>2467175</v>
      </c>
      <c r="J29" s="2108">
        <v>2749886.22</v>
      </c>
      <c r="K29" s="2088">
        <v>2914879.86</v>
      </c>
      <c r="L29" s="2106">
        <v>3089772.66</v>
      </c>
    </row>
    <row r="30" spans="1:12" ht="11.25" customHeight="1" x14ac:dyDescent="0.25">
      <c r="A30" s="2418"/>
      <c r="B30" s="1607"/>
      <c r="C30" s="2088"/>
      <c r="D30" s="2088"/>
      <c r="E30" s="2106"/>
      <c r="F30" s="2107"/>
      <c r="G30" s="2088"/>
      <c r="H30" s="2089"/>
      <c r="I30" s="2109"/>
      <c r="J30" s="2108"/>
      <c r="K30" s="2088"/>
      <c r="L30" s="2106"/>
    </row>
    <row r="31" spans="1:12" ht="11.25" customHeight="1" x14ac:dyDescent="0.25">
      <c r="A31" s="1422" t="s">
        <v>1946</v>
      </c>
      <c r="B31" s="1608"/>
      <c r="C31" s="686">
        <f t="shared" ref="C31:L31" si="4">SUM(C29:C30)</f>
        <v>0</v>
      </c>
      <c r="D31" s="686">
        <f t="shared" si="4"/>
        <v>1173633</v>
      </c>
      <c r="E31" s="687">
        <f t="shared" si="4"/>
        <v>1587562</v>
      </c>
      <c r="F31" s="688">
        <f t="shared" si="4"/>
        <v>2467175</v>
      </c>
      <c r="G31" s="686">
        <f t="shared" si="4"/>
        <v>2467175</v>
      </c>
      <c r="H31" s="1663">
        <f t="shared" si="4"/>
        <v>2467175</v>
      </c>
      <c r="I31" s="1669">
        <f t="shared" si="4"/>
        <v>2467175</v>
      </c>
      <c r="J31" s="689">
        <f t="shared" si="4"/>
        <v>2749886.22</v>
      </c>
      <c r="K31" s="686">
        <f t="shared" si="4"/>
        <v>2914879.86</v>
      </c>
      <c r="L31" s="687">
        <f t="shared" si="4"/>
        <v>3089772.66</v>
      </c>
    </row>
    <row r="32" spans="1:12" ht="15" customHeight="1" x14ac:dyDescent="0.25">
      <c r="A32" s="691" t="s">
        <v>1937</v>
      </c>
      <c r="B32" s="1609">
        <v>6</v>
      </c>
      <c r="C32" s="105">
        <f t="shared" ref="C32:L32" si="5">C9+C15+C21+C26+C31</f>
        <v>0</v>
      </c>
      <c r="D32" s="105">
        <f t="shared" si="5"/>
        <v>1173633</v>
      </c>
      <c r="E32" s="230">
        <f t="shared" si="5"/>
        <v>1587562</v>
      </c>
      <c r="F32" s="231">
        <f t="shared" si="5"/>
        <v>2467175</v>
      </c>
      <c r="G32" s="105">
        <f t="shared" si="5"/>
        <v>2467175</v>
      </c>
      <c r="H32" s="1665">
        <f t="shared" si="5"/>
        <v>2467175</v>
      </c>
      <c r="I32" s="1671">
        <f t="shared" si="5"/>
        <v>2467175</v>
      </c>
      <c r="J32" s="104">
        <f t="shared" si="5"/>
        <v>2749886.22</v>
      </c>
      <c r="K32" s="105">
        <f t="shared" si="5"/>
        <v>2914879.86</v>
      </c>
      <c r="L32" s="230">
        <f t="shared" si="5"/>
        <v>3089772.66</v>
      </c>
    </row>
    <row r="33" spans="1:16" ht="7.5" customHeight="1" x14ac:dyDescent="0.25">
      <c r="A33" s="1654"/>
      <c r="B33" s="1655"/>
      <c r="C33" s="1656"/>
      <c r="D33" s="1656"/>
      <c r="E33" s="1656"/>
      <c r="F33" s="1656"/>
      <c r="G33" s="1656"/>
      <c r="H33" s="1656"/>
      <c r="I33" s="1672"/>
      <c r="J33" s="1656"/>
      <c r="K33" s="1656"/>
      <c r="L33" s="1656"/>
    </row>
    <row r="34" spans="1:16" ht="11.25" customHeight="1" x14ac:dyDescent="0.25">
      <c r="A34" s="770" t="s">
        <v>2052</v>
      </c>
      <c r="B34" s="1657"/>
      <c r="C34" s="303"/>
      <c r="D34" s="303"/>
      <c r="E34" s="1658"/>
      <c r="F34" s="1659"/>
      <c r="G34" s="303"/>
      <c r="H34" s="1666"/>
      <c r="I34" s="1673"/>
      <c r="J34" s="1660"/>
      <c r="K34" s="303"/>
      <c r="L34" s="1658"/>
    </row>
    <row r="35" spans="1:16" ht="11.25" customHeight="1" x14ac:dyDescent="0.25">
      <c r="A35" s="2445" t="s">
        <v>1046</v>
      </c>
      <c r="B35" s="1605">
        <v>1</v>
      </c>
      <c r="C35" s="2088"/>
      <c r="D35" s="2088"/>
      <c r="E35" s="2106"/>
      <c r="F35" s="2107"/>
      <c r="G35" s="2088"/>
      <c r="H35" s="2089"/>
      <c r="I35" s="2109"/>
      <c r="J35" s="2108"/>
      <c r="K35" s="2088"/>
      <c r="L35" s="2106"/>
    </row>
    <row r="36" spans="1:16" ht="11.25" customHeight="1" x14ac:dyDescent="0.25">
      <c r="A36" s="2446"/>
      <c r="B36" s="1605"/>
      <c r="C36" s="2088"/>
      <c r="D36" s="2088"/>
      <c r="E36" s="2106"/>
      <c r="F36" s="2107"/>
      <c r="G36" s="2088"/>
      <c r="H36" s="2089"/>
      <c r="I36" s="2109"/>
      <c r="J36" s="2108"/>
      <c r="K36" s="2088"/>
      <c r="L36" s="2106"/>
      <c r="P36" s="247"/>
    </row>
    <row r="37" spans="1:16" ht="11.25" customHeight="1" x14ac:dyDescent="0.25">
      <c r="A37" s="2446"/>
      <c r="B37" s="1605"/>
      <c r="C37" s="2088"/>
      <c r="D37" s="2088"/>
      <c r="E37" s="2106"/>
      <c r="F37" s="2107"/>
      <c r="G37" s="2088"/>
      <c r="H37" s="2089"/>
      <c r="I37" s="2109"/>
      <c r="J37" s="2108"/>
      <c r="K37" s="2088"/>
      <c r="L37" s="2106"/>
    </row>
    <row r="38" spans="1:16" ht="11.25" customHeight="1" x14ac:dyDescent="0.25">
      <c r="A38" s="670" t="s">
        <v>2053</v>
      </c>
      <c r="B38" s="1606"/>
      <c r="C38" s="154">
        <f>SUM(C35:C37)</f>
        <v>0</v>
      </c>
      <c r="D38" s="154">
        <f t="shared" ref="D38:L38" si="6">SUM(D35:D37)</f>
        <v>0</v>
      </c>
      <c r="E38" s="155">
        <f t="shared" si="6"/>
        <v>0</v>
      </c>
      <c r="F38" s="156">
        <f t="shared" si="6"/>
        <v>0</v>
      </c>
      <c r="G38" s="154">
        <f t="shared" si="6"/>
        <v>0</v>
      </c>
      <c r="H38" s="1662">
        <f t="shared" si="6"/>
        <v>0</v>
      </c>
      <c r="I38" s="1668">
        <f t="shared" si="6"/>
        <v>0</v>
      </c>
      <c r="J38" s="153">
        <f t="shared" si="6"/>
        <v>0</v>
      </c>
      <c r="K38" s="154">
        <f t="shared" si="6"/>
        <v>0</v>
      </c>
      <c r="L38" s="155">
        <f t="shared" si="6"/>
        <v>0</v>
      </c>
    </row>
    <row r="39" spans="1:16" ht="11.25" customHeight="1" x14ac:dyDescent="0.25">
      <c r="A39" s="151"/>
      <c r="B39" s="1605"/>
      <c r="C39" s="81"/>
      <c r="D39" s="81"/>
      <c r="E39" s="82"/>
      <c r="F39" s="83"/>
      <c r="G39" s="81"/>
      <c r="H39" s="1661"/>
      <c r="I39" s="463"/>
      <c r="J39" s="80"/>
      <c r="K39" s="81"/>
      <c r="L39" s="82"/>
    </row>
    <row r="40" spans="1:16" ht="11.25" customHeight="1" x14ac:dyDescent="0.25">
      <c r="A40" s="683" t="s">
        <v>2054</v>
      </c>
      <c r="B40" s="1607"/>
      <c r="C40" s="85"/>
      <c r="D40" s="85"/>
      <c r="E40" s="142"/>
      <c r="F40" s="129"/>
      <c r="G40" s="85"/>
      <c r="H40" s="435"/>
      <c r="I40" s="929"/>
      <c r="J40" s="88"/>
      <c r="K40" s="85"/>
      <c r="L40" s="142"/>
    </row>
    <row r="41" spans="1:16" ht="11.25" customHeight="1" x14ac:dyDescent="0.25">
      <c r="A41" s="2445" t="str">
        <f>$A$6</f>
        <v>Insert description</v>
      </c>
      <c r="B41" s="1607">
        <v>2</v>
      </c>
      <c r="C41" s="2088"/>
      <c r="D41" s="2088"/>
      <c r="E41" s="2106"/>
      <c r="F41" s="2107"/>
      <c r="G41" s="2088"/>
      <c r="H41" s="2089"/>
      <c r="I41" s="2109"/>
      <c r="J41" s="2108"/>
      <c r="K41" s="2088"/>
      <c r="L41" s="2106"/>
    </row>
    <row r="42" spans="1:16" ht="11.25" customHeight="1" x14ac:dyDescent="0.25">
      <c r="A42" s="2418"/>
      <c r="B42" s="1607"/>
      <c r="C42" s="2088"/>
      <c r="D42" s="2088"/>
      <c r="E42" s="2106"/>
      <c r="F42" s="2107"/>
      <c r="G42" s="2088"/>
      <c r="H42" s="2089"/>
      <c r="I42" s="2109"/>
      <c r="J42" s="2108"/>
      <c r="K42" s="2088"/>
      <c r="L42" s="2106"/>
    </row>
    <row r="43" spans="1:16" ht="11.25" customHeight="1" x14ac:dyDescent="0.25">
      <c r="A43" s="2418"/>
      <c r="B43" s="1607"/>
      <c r="C43" s="2088"/>
      <c r="D43" s="2088"/>
      <c r="E43" s="2106"/>
      <c r="F43" s="2107"/>
      <c r="G43" s="2088"/>
      <c r="H43" s="2089"/>
      <c r="I43" s="2109"/>
      <c r="J43" s="2108"/>
      <c r="K43" s="2088"/>
      <c r="L43" s="2106"/>
    </row>
    <row r="44" spans="1:16" ht="11.25" customHeight="1" x14ac:dyDescent="0.25">
      <c r="A44" s="684" t="s">
        <v>2055</v>
      </c>
      <c r="B44" s="1608"/>
      <c r="C44" s="686">
        <f>SUM(C41:C43)</f>
        <v>0</v>
      </c>
      <c r="D44" s="686">
        <f t="shared" ref="D44:L44" si="7">SUM(D41:D43)</f>
        <v>0</v>
      </c>
      <c r="E44" s="687">
        <f t="shared" si="7"/>
        <v>0</v>
      </c>
      <c r="F44" s="688">
        <f t="shared" si="7"/>
        <v>0</v>
      </c>
      <c r="G44" s="686">
        <f t="shared" si="7"/>
        <v>0</v>
      </c>
      <c r="H44" s="1663">
        <f t="shared" si="7"/>
        <v>0</v>
      </c>
      <c r="I44" s="1669">
        <f t="shared" si="7"/>
        <v>0</v>
      </c>
      <c r="J44" s="689">
        <f t="shared" si="7"/>
        <v>0</v>
      </c>
      <c r="K44" s="686">
        <f t="shared" si="7"/>
        <v>0</v>
      </c>
      <c r="L44" s="687">
        <f t="shared" si="7"/>
        <v>0</v>
      </c>
    </row>
    <row r="45" spans="1:16" ht="11.25" customHeight="1" x14ac:dyDescent="0.25">
      <c r="A45" s="527"/>
      <c r="B45" s="1607"/>
      <c r="C45" s="271"/>
      <c r="D45" s="271"/>
      <c r="E45" s="223"/>
      <c r="F45" s="272"/>
      <c r="G45" s="271"/>
      <c r="H45" s="1664"/>
      <c r="I45" s="1670"/>
      <c r="J45" s="273"/>
      <c r="K45" s="271"/>
      <c r="L45" s="223"/>
    </row>
    <row r="46" spans="1:16" ht="11.25" customHeight="1" x14ac:dyDescent="0.25">
      <c r="A46" s="683" t="s">
        <v>2056</v>
      </c>
      <c r="B46" s="1607"/>
      <c r="C46" s="85"/>
      <c r="D46" s="85"/>
      <c r="E46" s="142"/>
      <c r="F46" s="129"/>
      <c r="G46" s="85"/>
      <c r="H46" s="435"/>
      <c r="I46" s="929"/>
      <c r="J46" s="88"/>
      <c r="K46" s="85"/>
      <c r="L46" s="142"/>
    </row>
    <row r="47" spans="1:16" ht="11.25" customHeight="1" x14ac:dyDescent="0.25">
      <c r="A47" s="2445" t="str">
        <f>$A$6</f>
        <v>Insert description</v>
      </c>
      <c r="B47" s="1607">
        <v>3</v>
      </c>
      <c r="C47" s="2088"/>
      <c r="D47" s="2088"/>
      <c r="E47" s="2106"/>
      <c r="F47" s="2107"/>
      <c r="G47" s="2088"/>
      <c r="H47" s="2089"/>
      <c r="I47" s="2109"/>
      <c r="J47" s="2108"/>
      <c r="K47" s="2088"/>
      <c r="L47" s="2106"/>
    </row>
    <row r="48" spans="1:16" ht="11.25" customHeight="1" x14ac:dyDescent="0.25">
      <c r="A48" s="2418"/>
      <c r="B48" s="1607"/>
      <c r="C48" s="2088"/>
      <c r="D48" s="2088"/>
      <c r="E48" s="2106"/>
      <c r="F48" s="2107"/>
      <c r="G48" s="2088"/>
      <c r="H48" s="2089"/>
      <c r="I48" s="2109"/>
      <c r="J48" s="2108"/>
      <c r="K48" s="2088"/>
      <c r="L48" s="2106"/>
    </row>
    <row r="49" spans="1:12" ht="11.25" customHeight="1" x14ac:dyDescent="0.25">
      <c r="A49" s="2418"/>
      <c r="B49" s="1607"/>
      <c r="C49" s="2088"/>
      <c r="D49" s="2088"/>
      <c r="E49" s="2106"/>
      <c r="F49" s="2107"/>
      <c r="G49" s="2088"/>
      <c r="H49" s="2089"/>
      <c r="I49" s="2109"/>
      <c r="J49" s="2108"/>
      <c r="K49" s="2088"/>
      <c r="L49" s="2106"/>
    </row>
    <row r="50" spans="1:12" ht="11.25" customHeight="1" x14ac:dyDescent="0.25">
      <c r="A50" s="684" t="s">
        <v>2057</v>
      </c>
      <c r="B50" s="1608"/>
      <c r="C50" s="686">
        <f>SUM(C47:C49)</f>
        <v>0</v>
      </c>
      <c r="D50" s="686">
        <f t="shared" ref="D50:J50" si="8">SUM(D47:D49)</f>
        <v>0</v>
      </c>
      <c r="E50" s="687">
        <f t="shared" si="8"/>
        <v>0</v>
      </c>
      <c r="F50" s="688">
        <f t="shared" si="8"/>
        <v>0</v>
      </c>
      <c r="G50" s="686">
        <f t="shared" si="8"/>
        <v>0</v>
      </c>
      <c r="H50" s="1663">
        <f t="shared" si="8"/>
        <v>0</v>
      </c>
      <c r="I50" s="1669">
        <f t="shared" si="8"/>
        <v>0</v>
      </c>
      <c r="J50" s="689">
        <f t="shared" si="8"/>
        <v>0</v>
      </c>
      <c r="K50" s="686">
        <f>SUM(K47:K49)</f>
        <v>0</v>
      </c>
      <c r="L50" s="687">
        <f>SUM(L47:L49)</f>
        <v>0</v>
      </c>
    </row>
    <row r="51" spans="1:12" ht="11.25" customHeight="1" x14ac:dyDescent="0.25">
      <c r="A51" s="527"/>
      <c r="B51" s="1607"/>
      <c r="C51" s="271"/>
      <c r="D51" s="271"/>
      <c r="E51" s="223"/>
      <c r="F51" s="272"/>
      <c r="G51" s="271"/>
      <c r="H51" s="1664"/>
      <c r="I51" s="1670"/>
      <c r="J51" s="273"/>
      <c r="K51" s="271"/>
      <c r="L51" s="223"/>
    </row>
    <row r="52" spans="1:12" ht="11.25" customHeight="1" x14ac:dyDescent="0.25">
      <c r="A52" s="683" t="s">
        <v>2058</v>
      </c>
      <c r="B52" s="1607"/>
      <c r="C52" s="85"/>
      <c r="D52" s="85"/>
      <c r="E52" s="142"/>
      <c r="F52" s="129"/>
      <c r="G52" s="85"/>
      <c r="H52" s="435"/>
      <c r="I52" s="929"/>
      <c r="J52" s="88"/>
      <c r="K52" s="85"/>
      <c r="L52" s="142"/>
    </row>
    <row r="53" spans="1:12" ht="11.25" customHeight="1" x14ac:dyDescent="0.25">
      <c r="A53" s="2445" t="str">
        <f>$A$6</f>
        <v>Insert description</v>
      </c>
      <c r="B53" s="1607">
        <v>4</v>
      </c>
      <c r="C53" s="2088"/>
      <c r="D53" s="2088"/>
      <c r="E53" s="2106"/>
      <c r="F53" s="2107"/>
      <c r="G53" s="2088"/>
      <c r="H53" s="2089"/>
      <c r="I53" s="2109"/>
      <c r="J53" s="2108"/>
      <c r="K53" s="2088"/>
      <c r="L53" s="2106"/>
    </row>
    <row r="54" spans="1:12" ht="11.25" customHeight="1" x14ac:dyDescent="0.25">
      <c r="A54" s="2418"/>
      <c r="B54" s="1607"/>
      <c r="C54" s="2088"/>
      <c r="D54" s="2088"/>
      <c r="E54" s="2106"/>
      <c r="F54" s="2107"/>
      <c r="G54" s="2088"/>
      <c r="H54" s="2089"/>
      <c r="I54" s="2109"/>
      <c r="J54" s="2108"/>
      <c r="K54" s="2088"/>
      <c r="L54" s="2106"/>
    </row>
    <row r="55" spans="1:12" ht="11.25" customHeight="1" x14ac:dyDescent="0.25">
      <c r="A55" s="2418"/>
      <c r="B55" s="1607"/>
      <c r="C55" s="2088"/>
      <c r="D55" s="2088"/>
      <c r="E55" s="2106"/>
      <c r="F55" s="2107"/>
      <c r="G55" s="2088"/>
      <c r="H55" s="2089"/>
      <c r="I55" s="2109"/>
      <c r="J55" s="2108"/>
      <c r="K55" s="2088"/>
      <c r="L55" s="2106"/>
    </row>
    <row r="56" spans="1:12" ht="11.25" customHeight="1" x14ac:dyDescent="0.25">
      <c r="A56" s="1422" t="s">
        <v>2059</v>
      </c>
      <c r="B56" s="1608"/>
      <c r="C56" s="686">
        <f>SUM(C53:C55)</f>
        <v>0</v>
      </c>
      <c r="D56" s="686">
        <f t="shared" ref="D56:J56" si="9">SUM(D53:D55)</f>
        <v>0</v>
      </c>
      <c r="E56" s="687">
        <f t="shared" si="9"/>
        <v>0</v>
      </c>
      <c r="F56" s="688">
        <f t="shared" si="9"/>
        <v>0</v>
      </c>
      <c r="G56" s="686">
        <f t="shared" si="9"/>
        <v>0</v>
      </c>
      <c r="H56" s="1663">
        <f t="shared" si="9"/>
        <v>0</v>
      </c>
      <c r="I56" s="1669">
        <f t="shared" si="9"/>
        <v>0</v>
      </c>
      <c r="J56" s="689">
        <f t="shared" si="9"/>
        <v>0</v>
      </c>
      <c r="K56" s="686">
        <f>SUM(K53:K55)</f>
        <v>0</v>
      </c>
      <c r="L56" s="687">
        <f>SUM(L53:L55)</f>
        <v>0</v>
      </c>
    </row>
    <row r="57" spans="1:12" ht="11.25" customHeight="1" x14ac:dyDescent="0.25">
      <c r="A57" s="1651"/>
      <c r="B57" s="1607"/>
      <c r="C57" s="271"/>
      <c r="D57" s="271"/>
      <c r="E57" s="223"/>
      <c r="F57" s="272"/>
      <c r="G57" s="271"/>
      <c r="H57" s="1664"/>
      <c r="I57" s="1670"/>
      <c r="J57" s="273"/>
      <c r="K57" s="271"/>
      <c r="L57" s="223"/>
    </row>
    <row r="58" spans="1:12" ht="11.25" customHeight="1" x14ac:dyDescent="0.25">
      <c r="A58" s="683" t="s">
        <v>1933</v>
      </c>
      <c r="B58" s="1607"/>
      <c r="C58" s="85"/>
      <c r="D58" s="85"/>
      <c r="E58" s="142"/>
      <c r="F58" s="129"/>
      <c r="G58" s="85"/>
      <c r="H58" s="435"/>
      <c r="I58" s="929"/>
      <c r="J58" s="88"/>
      <c r="K58" s="85"/>
      <c r="L58" s="142"/>
    </row>
    <row r="59" spans="1:12" ht="11.25" customHeight="1" x14ac:dyDescent="0.25">
      <c r="A59" s="2445" t="str">
        <f>$A$6</f>
        <v>Insert description</v>
      </c>
      <c r="B59" s="1607">
        <v>5</v>
      </c>
      <c r="C59" s="2088"/>
      <c r="D59" s="2088"/>
      <c r="E59" s="2106"/>
      <c r="F59" s="2107"/>
      <c r="G59" s="2088"/>
      <c r="H59" s="2089"/>
      <c r="I59" s="2109"/>
      <c r="J59" s="2108"/>
      <c r="K59" s="2088"/>
      <c r="L59" s="2106"/>
    </row>
    <row r="60" spans="1:12" ht="11.25" customHeight="1" x14ac:dyDescent="0.25">
      <c r="A60" s="2418"/>
      <c r="B60" s="1607"/>
      <c r="C60" s="2088"/>
      <c r="D60" s="2088"/>
      <c r="E60" s="2106"/>
      <c r="F60" s="2107"/>
      <c r="G60" s="2088"/>
      <c r="H60" s="2089"/>
      <c r="I60" s="2109"/>
      <c r="J60" s="2108"/>
      <c r="K60" s="2088"/>
      <c r="L60" s="2106"/>
    </row>
    <row r="61" spans="1:12" ht="11.25" customHeight="1" x14ac:dyDescent="0.25">
      <c r="A61" s="2418"/>
      <c r="B61" s="1607"/>
      <c r="C61" s="2088"/>
      <c r="D61" s="2088"/>
      <c r="E61" s="2106"/>
      <c r="F61" s="2107"/>
      <c r="G61" s="2088"/>
      <c r="H61" s="2089"/>
      <c r="I61" s="2109"/>
      <c r="J61" s="2108"/>
      <c r="K61" s="2088"/>
      <c r="L61" s="2106"/>
    </row>
    <row r="62" spans="1:12" ht="11.25" customHeight="1" x14ac:dyDescent="0.25">
      <c r="A62" s="1422" t="s">
        <v>2060</v>
      </c>
      <c r="B62" s="1608"/>
      <c r="C62" s="686">
        <f t="shared" ref="C62:L62" si="10">SUM(C59:C61)</f>
        <v>0</v>
      </c>
      <c r="D62" s="686">
        <f t="shared" si="10"/>
        <v>0</v>
      </c>
      <c r="E62" s="687">
        <f t="shared" si="10"/>
        <v>0</v>
      </c>
      <c r="F62" s="688">
        <f t="shared" si="10"/>
        <v>0</v>
      </c>
      <c r="G62" s="686">
        <f t="shared" si="10"/>
        <v>0</v>
      </c>
      <c r="H62" s="1663">
        <f t="shared" si="10"/>
        <v>0</v>
      </c>
      <c r="I62" s="1669">
        <f t="shared" si="10"/>
        <v>0</v>
      </c>
      <c r="J62" s="689">
        <f t="shared" si="10"/>
        <v>0</v>
      </c>
      <c r="K62" s="686">
        <f t="shared" si="10"/>
        <v>0</v>
      </c>
      <c r="L62" s="687">
        <f t="shared" si="10"/>
        <v>0</v>
      </c>
    </row>
    <row r="63" spans="1:12" ht="15" customHeight="1" x14ac:dyDescent="0.25">
      <c r="A63" s="691" t="s">
        <v>2061</v>
      </c>
      <c r="B63" s="1609"/>
      <c r="C63" s="105">
        <f t="shared" ref="C63:L63" si="11">C38+C44+C50+C56+C62</f>
        <v>0</v>
      </c>
      <c r="D63" s="105">
        <f t="shared" si="11"/>
        <v>0</v>
      </c>
      <c r="E63" s="230">
        <f t="shared" si="11"/>
        <v>0</v>
      </c>
      <c r="F63" s="231">
        <f t="shared" si="11"/>
        <v>0</v>
      </c>
      <c r="G63" s="105">
        <f t="shared" si="11"/>
        <v>0</v>
      </c>
      <c r="H63" s="1665">
        <f t="shared" si="11"/>
        <v>0</v>
      </c>
      <c r="I63" s="1671">
        <f t="shared" si="11"/>
        <v>0</v>
      </c>
      <c r="J63" s="104">
        <f t="shared" si="11"/>
        <v>0</v>
      </c>
      <c r="K63" s="105">
        <f t="shared" si="11"/>
        <v>0</v>
      </c>
      <c r="L63" s="230">
        <f t="shared" si="11"/>
        <v>0</v>
      </c>
    </row>
    <row r="64" spans="1:12" ht="15" customHeight="1" x14ac:dyDescent="0.25">
      <c r="A64" s="691" t="s">
        <v>294</v>
      </c>
      <c r="B64" s="1609">
        <v>6</v>
      </c>
      <c r="C64" s="105">
        <f>C32+C63</f>
        <v>0</v>
      </c>
      <c r="D64" s="105">
        <f t="shared" ref="D64:L64" si="12">D32+D63</f>
        <v>1173633</v>
      </c>
      <c r="E64" s="230">
        <f t="shared" si="12"/>
        <v>1587562</v>
      </c>
      <c r="F64" s="231">
        <f t="shared" si="12"/>
        <v>2467175</v>
      </c>
      <c r="G64" s="105">
        <f t="shared" si="12"/>
        <v>2467175</v>
      </c>
      <c r="H64" s="1665">
        <f t="shared" si="12"/>
        <v>2467175</v>
      </c>
      <c r="I64" s="1671">
        <f t="shared" si="12"/>
        <v>2467175</v>
      </c>
      <c r="J64" s="104">
        <f t="shared" si="12"/>
        <v>2749886.22</v>
      </c>
      <c r="K64" s="105">
        <f t="shared" si="12"/>
        <v>2914879.86</v>
      </c>
      <c r="L64" s="230">
        <f t="shared" si="12"/>
        <v>3089772.66</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1282</v>
      </c>
    </row>
    <row r="67" spans="1:12" x14ac:dyDescent="0.25">
      <c r="A67" s="120" t="s">
        <v>1241</v>
      </c>
    </row>
    <row r="68" spans="1:12" x14ac:dyDescent="0.25">
      <c r="A68" s="120" t="s">
        <v>1336</v>
      </c>
    </row>
    <row r="69" spans="1:12" x14ac:dyDescent="0.25">
      <c r="A69" s="120" t="s">
        <v>1633</v>
      </c>
    </row>
    <row r="70" spans="1:12" x14ac:dyDescent="0.25">
      <c r="A70" s="120" t="s">
        <v>1935</v>
      </c>
    </row>
    <row r="71" spans="1:12" x14ac:dyDescent="0.25">
      <c r="A71" s="120" t="s">
        <v>1934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59 A2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98" activePane="bottomRight" state="frozen"/>
      <selection pane="topRight"/>
      <selection pane="bottomLeft"/>
      <selection pane="bottomRight" activeCell="I45" activeCellId="1" sqref="I29 I45"/>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LIM471 Ephraim Mogale - Supporting Table SA22 Summary councillor and staff benefits</v>
      </c>
      <c r="B1" s="25"/>
      <c r="C1" s="25"/>
      <c r="D1" s="25"/>
      <c r="E1" s="25"/>
      <c r="F1" s="25"/>
      <c r="G1" s="25"/>
      <c r="H1" s="25"/>
      <c r="I1" s="25"/>
      <c r="J1" s="25"/>
      <c r="K1" s="25"/>
    </row>
    <row r="2" spans="1:12" ht="28.5" customHeight="1" x14ac:dyDescent="0.25">
      <c r="A2" s="858" t="s">
        <v>1567</v>
      </c>
      <c r="B2" s="296" t="str">
        <f>head27</f>
        <v>Ref</v>
      </c>
      <c r="C2" s="28" t="str">
        <f>head1b</f>
        <v>2012/13</v>
      </c>
      <c r="D2" s="629" t="str">
        <f>head1A</f>
        <v>2013/14</v>
      </c>
      <c r="E2" s="24" t="str">
        <f>Head1</f>
        <v>2014/15</v>
      </c>
      <c r="F2" s="2653" t="str">
        <f>Head2</f>
        <v>Current Year 2015/16</v>
      </c>
      <c r="G2" s="2654"/>
      <c r="H2" s="2658"/>
      <c r="I2" s="2651" t="str">
        <f>Head3</f>
        <v>2016/17 Medium Term Revenue &amp; Expenditure Framework</v>
      </c>
      <c r="J2" s="2651"/>
      <c r="K2" s="2652"/>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384</v>
      </c>
      <c r="D4" s="60" t="s">
        <v>1284</v>
      </c>
      <c r="E4" s="693" t="s">
        <v>472</v>
      </c>
      <c r="F4" s="694" t="s">
        <v>521</v>
      </c>
      <c r="G4" s="60" t="s">
        <v>1481</v>
      </c>
      <c r="H4" s="693" t="s">
        <v>1482</v>
      </c>
      <c r="I4" s="529" t="s">
        <v>1483</v>
      </c>
      <c r="J4" s="60" t="s">
        <v>534</v>
      </c>
      <c r="K4" s="693" t="s">
        <v>535</v>
      </c>
    </row>
    <row r="5" spans="1:12" ht="11.25" customHeight="1" x14ac:dyDescent="0.25">
      <c r="A5" s="127" t="s">
        <v>717</v>
      </c>
      <c r="B5" s="60"/>
      <c r="C5" s="81"/>
      <c r="D5" s="81"/>
      <c r="E5" s="82"/>
      <c r="F5" s="83"/>
      <c r="G5" s="81"/>
      <c r="H5" s="82"/>
      <c r="I5" s="80"/>
      <c r="J5" s="81"/>
      <c r="K5" s="82"/>
    </row>
    <row r="6" spans="1:12" ht="11.25" customHeight="1" x14ac:dyDescent="0.25">
      <c r="A6" s="128" t="s">
        <v>1251</v>
      </c>
      <c r="B6" s="60"/>
      <c r="C6" s="2088"/>
      <c r="D6" s="2088">
        <v>5833281</v>
      </c>
      <c r="E6" s="2106">
        <v>6217114</v>
      </c>
      <c r="F6" s="2107">
        <v>6803405.8399999999</v>
      </c>
      <c r="G6" s="2107">
        <v>6803405.8399999999</v>
      </c>
      <c r="H6" s="2107">
        <v>6803405.8399999999</v>
      </c>
      <c r="I6" s="2108">
        <v>7211610.1904000007</v>
      </c>
      <c r="J6" s="2088">
        <v>7644306.8018240007</v>
      </c>
      <c r="K6" s="2106">
        <v>8102965.2099334411</v>
      </c>
    </row>
    <row r="7" spans="1:12" ht="11.25" customHeight="1" x14ac:dyDescent="0.25">
      <c r="A7" s="128" t="s">
        <v>1952</v>
      </c>
      <c r="B7" s="60"/>
      <c r="C7" s="2088"/>
      <c r="D7" s="2088">
        <v>1021531</v>
      </c>
      <c r="E7" s="2106">
        <v>1145654</v>
      </c>
      <c r="F7" s="2107">
        <v>1728127.75</v>
      </c>
      <c r="G7" s="2088">
        <v>1728127.75</v>
      </c>
      <c r="H7" s="2106">
        <v>1728127.75</v>
      </c>
      <c r="I7" s="2108">
        <v>1831815.415</v>
      </c>
      <c r="J7" s="2088">
        <v>1941724.3399</v>
      </c>
      <c r="K7" s="2106">
        <v>2058227.800294</v>
      </c>
    </row>
    <row r="8" spans="1:12" ht="11.25" customHeight="1" x14ac:dyDescent="0.25">
      <c r="A8" s="128" t="s">
        <v>718</v>
      </c>
      <c r="B8" s="60"/>
      <c r="C8" s="2088"/>
      <c r="D8" s="2088"/>
      <c r="E8" s="2106"/>
      <c r="F8" s="2107"/>
      <c r="G8" s="2088"/>
      <c r="H8" s="2106"/>
      <c r="I8" s="2108"/>
      <c r="J8" s="2088"/>
      <c r="K8" s="2106"/>
    </row>
    <row r="9" spans="1:12" ht="11.25" customHeight="1" x14ac:dyDescent="0.25">
      <c r="A9" s="128" t="s">
        <v>2106</v>
      </c>
      <c r="B9" s="60"/>
      <c r="C9" s="2088"/>
      <c r="D9" s="2088">
        <v>1952403</v>
      </c>
      <c r="E9" s="2106">
        <v>1907228</v>
      </c>
      <c r="F9" s="2107">
        <v>1763593.68</v>
      </c>
      <c r="G9" s="2088">
        <v>1763593.68</v>
      </c>
      <c r="H9" s="2106">
        <v>1763593.68</v>
      </c>
      <c r="I9" s="2108">
        <v>1869409.3008000001</v>
      </c>
      <c r="J9" s="2088">
        <v>1981573.8588480002</v>
      </c>
      <c r="K9" s="2106">
        <v>2100468.2903788802</v>
      </c>
      <c r="L9" s="247"/>
    </row>
    <row r="10" spans="1:12" ht="11.25" customHeight="1" x14ac:dyDescent="0.25">
      <c r="A10" s="68" t="s">
        <v>1953</v>
      </c>
      <c r="B10" s="60"/>
      <c r="C10" s="2088"/>
      <c r="D10" s="2088"/>
      <c r="E10" s="2106"/>
      <c r="F10" s="2107">
        <v>707842.56000000006</v>
      </c>
      <c r="G10" s="2088">
        <v>707842.56000000006</v>
      </c>
      <c r="H10" s="2106">
        <v>707842.56000000006</v>
      </c>
      <c r="I10" s="2108">
        <v>750313.11360000004</v>
      </c>
      <c r="J10" s="2088">
        <v>795331.90041600005</v>
      </c>
      <c r="K10" s="2106">
        <v>843051.81444096006</v>
      </c>
      <c r="L10" s="247"/>
    </row>
    <row r="11" spans="1:12" ht="11.25" customHeight="1" x14ac:dyDescent="0.25">
      <c r="A11" s="68" t="s">
        <v>2107</v>
      </c>
      <c r="B11" s="60"/>
      <c r="C11" s="2088"/>
      <c r="D11" s="2088"/>
      <c r="E11" s="2106"/>
      <c r="F11" s="2107"/>
      <c r="G11" s="2088"/>
      <c r="H11" s="2106"/>
      <c r="I11" s="2108"/>
      <c r="J11" s="2088"/>
      <c r="K11" s="2106"/>
      <c r="L11" s="247"/>
    </row>
    <row r="12" spans="1:12" ht="11.25" customHeight="1" x14ac:dyDescent="0.25">
      <c r="A12" s="68" t="s">
        <v>1466</v>
      </c>
      <c r="B12" s="60"/>
      <c r="C12" s="2088"/>
      <c r="D12" s="2088">
        <v>1072748</v>
      </c>
      <c r="E12" s="2106">
        <v>1073459</v>
      </c>
      <c r="F12" s="2107"/>
      <c r="G12" s="2088"/>
      <c r="H12" s="2106"/>
      <c r="I12" s="2108"/>
      <c r="J12" s="2088"/>
      <c r="K12" s="2106"/>
      <c r="L12" s="247"/>
    </row>
    <row r="13" spans="1:12" ht="11.25" customHeight="1" x14ac:dyDescent="0.25">
      <c r="A13" s="143" t="s">
        <v>719</v>
      </c>
      <c r="B13" s="60"/>
      <c r="C13" s="145">
        <f t="shared" ref="C13:K13" si="0">SUM(C6:C12)</f>
        <v>0</v>
      </c>
      <c r="D13" s="91">
        <f t="shared" si="0"/>
        <v>9879963</v>
      </c>
      <c r="E13" s="92">
        <f>SUM(E6:E12)</f>
        <v>10343455</v>
      </c>
      <c r="F13" s="93">
        <f t="shared" si="0"/>
        <v>11002969.83</v>
      </c>
      <c r="G13" s="91">
        <f t="shared" si="0"/>
        <v>11002969.83</v>
      </c>
      <c r="H13" s="92">
        <f t="shared" si="0"/>
        <v>11002969.83</v>
      </c>
      <c r="I13" s="90">
        <f t="shared" si="0"/>
        <v>11663148.0198</v>
      </c>
      <c r="J13" s="91">
        <f t="shared" si="0"/>
        <v>12362936.900988001</v>
      </c>
      <c r="K13" s="92">
        <f t="shared" si="0"/>
        <v>13104713.115047282</v>
      </c>
      <c r="L13" s="247"/>
    </row>
    <row r="14" spans="1:12" ht="11.25" customHeight="1" x14ac:dyDescent="0.25">
      <c r="A14" s="250" t="s">
        <v>880</v>
      </c>
      <c r="B14" s="60">
        <v>4</v>
      </c>
      <c r="C14" s="695"/>
      <c r="D14" s="696">
        <f>IF(ISERROR((D13/C13)-1),0,((D13/C13)-1))</f>
        <v>0</v>
      </c>
      <c r="E14" s="731">
        <f t="shared" ref="E14:K14" si="1">IF(ISERROR((E13/D13)-1),0,((E13/D13)-1))</f>
        <v>4.6912321432782678E-2</v>
      </c>
      <c r="F14" s="1042">
        <f t="shared" si="1"/>
        <v>6.3761560329696376E-2</v>
      </c>
      <c r="G14" s="696">
        <f t="shared" si="1"/>
        <v>0</v>
      </c>
      <c r="H14" s="731">
        <f t="shared" si="1"/>
        <v>0</v>
      </c>
      <c r="I14" s="1042">
        <f t="shared" si="1"/>
        <v>6.0000000000000053E-2</v>
      </c>
      <c r="J14" s="696">
        <f t="shared" si="1"/>
        <v>6.0000000000000053E-2</v>
      </c>
      <c r="K14" s="731">
        <f t="shared" si="1"/>
        <v>6.0000000000000053E-2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1250</v>
      </c>
      <c r="B16" s="60">
        <v>2</v>
      </c>
      <c r="C16" s="85"/>
      <c r="D16" s="81"/>
      <c r="E16" s="82"/>
      <c r="F16" s="83"/>
      <c r="G16" s="81"/>
      <c r="H16" s="82"/>
      <c r="I16" s="80"/>
      <c r="J16" s="81"/>
      <c r="K16" s="82"/>
      <c r="L16" s="247"/>
    </row>
    <row r="17" spans="1:12" ht="11.25" customHeight="1" x14ac:dyDescent="0.25">
      <c r="A17" s="68" t="s">
        <v>1251</v>
      </c>
      <c r="B17" s="60"/>
      <c r="C17" s="2088"/>
      <c r="D17" s="2088">
        <v>1658178</v>
      </c>
      <c r="E17" s="2106">
        <v>2215006</v>
      </c>
      <c r="F17" s="2107">
        <v>3467322.8279999997</v>
      </c>
      <c r="G17" s="2088">
        <v>3102971.64</v>
      </c>
      <c r="H17" s="2088">
        <v>3102971.64</v>
      </c>
      <c r="I17" s="2108">
        <v>4087094.8203779999</v>
      </c>
      <c r="J17" s="2088">
        <v>4373191.4577900004</v>
      </c>
      <c r="K17" s="2106">
        <v>4679314.8598300004</v>
      </c>
      <c r="L17" s="247"/>
    </row>
    <row r="18" spans="1:12" ht="11.25" customHeight="1" x14ac:dyDescent="0.25">
      <c r="A18" s="68" t="s">
        <v>1952</v>
      </c>
      <c r="B18" s="60"/>
      <c r="C18" s="2088"/>
      <c r="D18" s="2088">
        <v>198643</v>
      </c>
      <c r="E18" s="2106">
        <v>285751</v>
      </c>
      <c r="F18" s="2107">
        <v>525708.24</v>
      </c>
      <c r="G18" s="2088">
        <v>486718.94</v>
      </c>
      <c r="H18" s="2088">
        <v>486718.94</v>
      </c>
      <c r="I18" s="2108">
        <v>664223.94999999995</v>
      </c>
      <c r="J18" s="2088">
        <v>710719.62650000001</v>
      </c>
      <c r="K18" s="2106">
        <v>760470</v>
      </c>
      <c r="L18" s="247"/>
    </row>
    <row r="19" spans="1:12" ht="11.25" customHeight="1" x14ac:dyDescent="0.25">
      <c r="A19" s="68" t="s">
        <v>718</v>
      </c>
      <c r="B19" s="60"/>
      <c r="C19" s="2088"/>
      <c r="D19" s="2088"/>
      <c r="E19" s="2106"/>
      <c r="F19" s="2107">
        <v>166496.50079999998</v>
      </c>
      <c r="G19" s="2088">
        <v>145364.43</v>
      </c>
      <c r="H19" s="2088">
        <v>145364.43</v>
      </c>
      <c r="I19" s="2108">
        <v>125259.33599999998</v>
      </c>
      <c r="J19" s="2088">
        <v>134027.48952</v>
      </c>
      <c r="K19" s="2106">
        <v>143409.413</v>
      </c>
      <c r="L19" s="247"/>
    </row>
    <row r="20" spans="1:12" ht="11.25" customHeight="1" x14ac:dyDescent="0.25">
      <c r="A20" s="68" t="s">
        <v>1042</v>
      </c>
      <c r="B20" s="60"/>
      <c r="C20" s="2088"/>
      <c r="D20" s="2088"/>
      <c r="E20" s="2106"/>
      <c r="F20" s="2107"/>
      <c r="G20" s="2088">
        <v>0</v>
      </c>
      <c r="H20" s="2088">
        <v>0</v>
      </c>
      <c r="I20" s="2108"/>
      <c r="J20" s="2088"/>
      <c r="K20" s="2106"/>
      <c r="L20" s="247"/>
    </row>
    <row r="21" spans="1:12" ht="11.25" customHeight="1" x14ac:dyDescent="0.25">
      <c r="A21" s="68" t="s">
        <v>720</v>
      </c>
      <c r="B21" s="60"/>
      <c r="C21" s="2088"/>
      <c r="D21" s="2088">
        <v>71034</v>
      </c>
      <c r="E21" s="2106">
        <v>67478</v>
      </c>
      <c r="F21" s="2107">
        <v>221628.81039999999</v>
      </c>
      <c r="G21" s="2088">
        <v>203578.19999999998</v>
      </c>
      <c r="H21" s="2088">
        <v>203578.19999999998</v>
      </c>
      <c r="I21" s="2108">
        <v>246565.24332950002</v>
      </c>
      <c r="J21" s="2088">
        <v>263824.81030000001</v>
      </c>
      <c r="K21" s="2106">
        <v>282292.54705400002</v>
      </c>
      <c r="L21" s="247"/>
    </row>
    <row r="22" spans="1:12" ht="11.25" customHeight="1" x14ac:dyDescent="0.25">
      <c r="A22" s="68" t="s">
        <v>2106</v>
      </c>
      <c r="B22" s="60">
        <v>3</v>
      </c>
      <c r="C22" s="2088"/>
      <c r="D22" s="2088">
        <v>343209</v>
      </c>
      <c r="E22" s="2106">
        <v>286066</v>
      </c>
      <c r="F22" s="2107">
        <v>388013.94264000002</v>
      </c>
      <c r="G22" s="2088">
        <v>388013.94264000002</v>
      </c>
      <c r="H22" s="2088">
        <v>388013.94264000002</v>
      </c>
      <c r="I22" s="2108">
        <v>293634.49320000003</v>
      </c>
      <c r="J22" s="2088">
        <v>314188.90772399999</v>
      </c>
      <c r="K22" s="2106">
        <v>336182.13126400003</v>
      </c>
      <c r="L22" s="247"/>
    </row>
    <row r="23" spans="1:12" ht="11.25" customHeight="1" x14ac:dyDescent="0.25">
      <c r="A23" s="68" t="s">
        <v>1953</v>
      </c>
      <c r="B23" s="60">
        <v>3</v>
      </c>
      <c r="C23" s="2088"/>
      <c r="D23" s="2088"/>
      <c r="E23" s="2106"/>
      <c r="F23" s="2107">
        <v>100156.22400000002</v>
      </c>
      <c r="G23" s="2088">
        <v>100156.22400000002</v>
      </c>
      <c r="H23" s="2088">
        <v>100156.22400000002</v>
      </c>
      <c r="I23" s="2108">
        <v>85950.96</v>
      </c>
      <c r="J23" s="2088">
        <v>91967.527199999997</v>
      </c>
      <c r="K23" s="2106">
        <v>98405.254104000007</v>
      </c>
      <c r="L23" s="247"/>
    </row>
    <row r="24" spans="1:12" ht="11.25" customHeight="1" x14ac:dyDescent="0.25">
      <c r="A24" s="68" t="s">
        <v>2107</v>
      </c>
      <c r="B24" s="60">
        <v>3</v>
      </c>
      <c r="C24" s="2088"/>
      <c r="D24" s="2088"/>
      <c r="E24" s="2106"/>
      <c r="F24" s="2107"/>
      <c r="G24" s="2088"/>
      <c r="H24" s="2088"/>
      <c r="I24" s="2108"/>
      <c r="J24" s="2088"/>
      <c r="K24" s="2106"/>
      <c r="L24" s="247"/>
    </row>
    <row r="25" spans="1:12" ht="11.25" customHeight="1" x14ac:dyDescent="0.25">
      <c r="A25" s="68" t="s">
        <v>1466</v>
      </c>
      <c r="B25" s="60">
        <v>3</v>
      </c>
      <c r="C25" s="2088"/>
      <c r="D25" s="2088">
        <v>393023</v>
      </c>
      <c r="E25" s="2106">
        <v>314718</v>
      </c>
      <c r="F25" s="2107">
        <v>518.10048000000006</v>
      </c>
      <c r="G25" s="2088">
        <v>518.10048000000006</v>
      </c>
      <c r="H25" s="2088">
        <v>518.10048000000006</v>
      </c>
      <c r="I25" s="2108">
        <v>522.33119999999997</v>
      </c>
      <c r="J25" s="2088">
        <v>558.89438399999995</v>
      </c>
      <c r="K25" s="2106">
        <v>598.01698999999996</v>
      </c>
      <c r="L25" s="247"/>
    </row>
    <row r="26" spans="1:12" ht="11.25" customHeight="1" x14ac:dyDescent="0.25">
      <c r="A26" s="68" t="s">
        <v>1590</v>
      </c>
      <c r="B26" s="60"/>
      <c r="C26" s="2088"/>
      <c r="D26" s="2088"/>
      <c r="E26" s="2106"/>
      <c r="F26" s="2107"/>
      <c r="G26" s="2088"/>
      <c r="H26" s="2088"/>
      <c r="I26" s="2108"/>
      <c r="J26" s="2088"/>
      <c r="K26" s="2106"/>
      <c r="L26" s="247"/>
    </row>
    <row r="27" spans="1:12" ht="11.25" customHeight="1" x14ac:dyDescent="0.25">
      <c r="A27" s="68" t="s">
        <v>1043</v>
      </c>
      <c r="B27" s="60"/>
      <c r="C27" s="2088"/>
      <c r="D27" s="2088"/>
      <c r="E27" s="2106"/>
      <c r="F27" s="2107"/>
      <c r="G27" s="2088"/>
      <c r="H27" s="2088"/>
      <c r="I27" s="2108"/>
      <c r="J27" s="2088"/>
      <c r="K27" s="2106"/>
      <c r="L27" s="247"/>
    </row>
    <row r="28" spans="1:12" ht="11.25" customHeight="1" x14ac:dyDescent="0.25">
      <c r="A28" s="68" t="s">
        <v>1591</v>
      </c>
      <c r="B28" s="60">
        <v>6</v>
      </c>
      <c r="C28" s="2088"/>
      <c r="D28" s="2088"/>
      <c r="E28" s="2106"/>
      <c r="F28" s="2107"/>
      <c r="G28" s="2088"/>
      <c r="H28" s="2088"/>
      <c r="I28" s="2108"/>
      <c r="J28" s="2088"/>
      <c r="K28" s="2106"/>
      <c r="L28" s="247"/>
    </row>
    <row r="29" spans="1:12" ht="11.25" customHeight="1" x14ac:dyDescent="0.25">
      <c r="A29" s="143" t="s">
        <v>721</v>
      </c>
      <c r="B29" s="60"/>
      <c r="C29" s="145">
        <f>SUM(C17:C28)</f>
        <v>0</v>
      </c>
      <c r="D29" s="91">
        <f t="shared" ref="D29:K29" si="2">SUM(D17:D28)</f>
        <v>2664087</v>
      </c>
      <c r="E29" s="92">
        <f t="shared" si="2"/>
        <v>3169019</v>
      </c>
      <c r="F29" s="93">
        <f t="shared" si="2"/>
        <v>4869844.6463200003</v>
      </c>
      <c r="G29" s="91">
        <f t="shared" si="2"/>
        <v>4427321.4771199999</v>
      </c>
      <c r="H29" s="92">
        <f t="shared" si="2"/>
        <v>4427321.4771199999</v>
      </c>
      <c r="I29" s="90">
        <f t="shared" si="2"/>
        <v>5503251.1341075003</v>
      </c>
      <c r="J29" s="91">
        <f t="shared" si="2"/>
        <v>5888478.7134180013</v>
      </c>
      <c r="K29" s="92">
        <f t="shared" si="2"/>
        <v>6300672.2222420005</v>
      </c>
      <c r="L29" s="247"/>
    </row>
    <row r="30" spans="1:12" ht="11.25" customHeight="1" x14ac:dyDescent="0.25">
      <c r="A30" s="250" t="str">
        <f>$A$14</f>
        <v>% increase</v>
      </c>
      <c r="B30" s="60">
        <f>$B$14</f>
        <v>4</v>
      </c>
      <c r="C30" s="695"/>
      <c r="D30" s="696">
        <f>IF(ISERROR((D29/C29)-1),0,((D29/C29)-1))</f>
        <v>0</v>
      </c>
      <c r="E30" s="697">
        <f t="shared" ref="E30:K30" si="3">IF(ISERROR((E29/D29)-1),0,((E29/D29)-1))</f>
        <v>0.18953284934013048</v>
      </c>
      <c r="F30" s="698">
        <f t="shared" si="3"/>
        <v>0.53670414923987519</v>
      </c>
      <c r="G30" s="696">
        <f t="shared" si="3"/>
        <v>-9.0870079302098894E-2</v>
      </c>
      <c r="H30" s="697">
        <f t="shared" si="3"/>
        <v>0</v>
      </c>
      <c r="I30" s="699">
        <f t="shared" si="3"/>
        <v>0.24302044984711602</v>
      </c>
      <c r="J30" s="696">
        <f t="shared" si="3"/>
        <v>6.9999999986003925E-2</v>
      </c>
      <c r="K30" s="697">
        <f t="shared" si="3"/>
        <v>6.9999999810602898E-2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722</v>
      </c>
      <c r="B32" s="60"/>
      <c r="C32" s="85"/>
      <c r="D32" s="81"/>
      <c r="E32" s="82"/>
      <c r="F32" s="83"/>
      <c r="G32" s="81"/>
      <c r="H32" s="82"/>
      <c r="I32" s="80"/>
      <c r="J32" s="81"/>
      <c r="K32" s="82"/>
      <c r="L32" s="247"/>
    </row>
    <row r="33" spans="1:15" ht="11.25" customHeight="1" x14ac:dyDescent="0.25">
      <c r="A33" s="128" t="s">
        <v>1251</v>
      </c>
      <c r="B33" s="60"/>
      <c r="C33" s="2088"/>
      <c r="D33" s="2088">
        <v>28000082</v>
      </c>
      <c r="E33" s="2106">
        <v>29621754</v>
      </c>
      <c r="F33" s="2107">
        <v>40223129.832000002</v>
      </c>
      <c r="G33" s="2088">
        <v>38163021.690000013</v>
      </c>
      <c r="H33" s="2088">
        <v>38163021.690000013</v>
      </c>
      <c r="I33" s="2108">
        <v>42946830.319700003</v>
      </c>
      <c r="J33" s="2088">
        <v>45482769.192299999</v>
      </c>
      <c r="K33" s="2106">
        <v>48168003.420199998</v>
      </c>
      <c r="L33" s="247"/>
    </row>
    <row r="34" spans="1:15" ht="11.25" customHeight="1" x14ac:dyDescent="0.25">
      <c r="A34" s="128" t="s">
        <v>1952</v>
      </c>
      <c r="B34" s="60"/>
      <c r="C34" s="2088"/>
      <c r="D34" s="2088">
        <v>6065679</v>
      </c>
      <c r="E34" s="2106">
        <v>6372411</v>
      </c>
      <c r="F34" s="2107">
        <v>8893916.8699999992</v>
      </c>
      <c r="G34" s="2088">
        <v>8317304.7400000002</v>
      </c>
      <c r="H34" s="2088">
        <v>8317304.7400000002</v>
      </c>
      <c r="I34" s="2108">
        <v>9625699.6199999992</v>
      </c>
      <c r="J34" s="2088">
        <v>10196599.363500001</v>
      </c>
      <c r="K34" s="2106">
        <v>10801288.130000001</v>
      </c>
      <c r="L34" s="247"/>
    </row>
    <row r="35" spans="1:15" ht="11.25" customHeight="1" x14ac:dyDescent="0.25">
      <c r="A35" s="128" t="s">
        <v>718</v>
      </c>
      <c r="B35" s="60"/>
      <c r="C35" s="2088"/>
      <c r="D35" s="2088">
        <v>1854502</v>
      </c>
      <c r="E35" s="2106">
        <v>1994205</v>
      </c>
      <c r="F35" s="2107">
        <v>2174301.4791999999</v>
      </c>
      <c r="G35" s="2088">
        <v>2313554.1800000002</v>
      </c>
      <c r="H35" s="2088">
        <v>2313554.1800000002</v>
      </c>
      <c r="I35" s="2108">
        <v>2568696.7340000002</v>
      </c>
      <c r="J35" s="2088">
        <v>2721565.9404799999</v>
      </c>
      <c r="K35" s="2106">
        <v>2883519.6269999999</v>
      </c>
      <c r="L35" s="247"/>
    </row>
    <row r="36" spans="1:15" ht="11.25" customHeight="1" x14ac:dyDescent="0.25">
      <c r="A36" s="128" t="s">
        <v>1042</v>
      </c>
      <c r="B36" s="60"/>
      <c r="C36" s="2088"/>
      <c r="D36" s="2088">
        <v>1057222</v>
      </c>
      <c r="E36" s="2106">
        <v>1389132</v>
      </c>
      <c r="F36" s="2107">
        <v>1630840.54</v>
      </c>
      <c r="G36" s="2088">
        <v>1570825.94</v>
      </c>
      <c r="H36" s="2088">
        <v>1570825.94</v>
      </c>
      <c r="I36" s="2108">
        <v>1688112.38</v>
      </c>
      <c r="J36" s="2088">
        <v>1789399.12</v>
      </c>
      <c r="K36" s="2106">
        <v>1896763.07</v>
      </c>
      <c r="L36" s="247"/>
    </row>
    <row r="37" spans="1:15" ht="11.25" customHeight="1" x14ac:dyDescent="0.25">
      <c r="A37" s="128" t="s">
        <v>720</v>
      </c>
      <c r="B37" s="60"/>
      <c r="C37" s="2088"/>
      <c r="D37" s="2088">
        <v>3842224</v>
      </c>
      <c r="E37" s="2106">
        <v>3610423</v>
      </c>
      <c r="F37" s="2107">
        <v>3290570.2895999998</v>
      </c>
      <c r="G37" s="2088">
        <v>3130787.1400000011</v>
      </c>
      <c r="H37" s="2088">
        <v>3130787.1400000011</v>
      </c>
      <c r="I37" s="2108">
        <v>3427700.9467000002</v>
      </c>
      <c r="J37" s="2088">
        <v>3630897.3497000001</v>
      </c>
      <c r="K37" s="2106">
        <v>3846112.9429500001</v>
      </c>
      <c r="L37" s="247"/>
    </row>
    <row r="38" spans="1:15" ht="11.25" customHeight="1" x14ac:dyDescent="0.25">
      <c r="A38" s="128" t="s">
        <v>2106</v>
      </c>
      <c r="B38" s="60">
        <v>3</v>
      </c>
      <c r="C38" s="2088"/>
      <c r="D38" s="2088">
        <v>1997881</v>
      </c>
      <c r="E38" s="2106">
        <v>2403517</v>
      </c>
      <c r="F38" s="2107">
        <v>3551631.30736</v>
      </c>
      <c r="G38" s="2088">
        <v>2926629.75</v>
      </c>
      <c r="H38" s="2088">
        <v>2926629.75</v>
      </c>
      <c r="I38" s="2108">
        <v>3426270.5767999999</v>
      </c>
      <c r="J38" s="2088">
        <v>3628910.4722799999</v>
      </c>
      <c r="K38" s="2106">
        <v>3843503.2089999998</v>
      </c>
      <c r="L38" s="247"/>
    </row>
    <row r="39" spans="1:15" ht="11.25" customHeight="1" x14ac:dyDescent="0.25">
      <c r="A39" s="128" t="s">
        <v>1953</v>
      </c>
      <c r="B39" s="60">
        <v>3</v>
      </c>
      <c r="C39" s="2088"/>
      <c r="D39" s="2088"/>
      <c r="E39" s="2106"/>
      <c r="F39" s="2107">
        <v>484915.43599999999</v>
      </c>
      <c r="G39" s="2088">
        <v>484915.43999999994</v>
      </c>
      <c r="H39" s="2088">
        <v>484915.43999999994</v>
      </c>
      <c r="I39" s="2108">
        <v>546072.69999999995</v>
      </c>
      <c r="J39" s="2088">
        <v>577977.55279999995</v>
      </c>
      <c r="K39" s="2106">
        <v>611736.52599999995</v>
      </c>
      <c r="L39" s="247"/>
      <c r="O39" s="247"/>
    </row>
    <row r="40" spans="1:15" ht="11.25" customHeight="1" x14ac:dyDescent="0.25">
      <c r="A40" s="128" t="s">
        <v>2107</v>
      </c>
      <c r="B40" s="60">
        <v>3</v>
      </c>
      <c r="C40" s="2088"/>
      <c r="D40" s="2088">
        <v>80304</v>
      </c>
      <c r="E40" s="2106">
        <v>82481</v>
      </c>
      <c r="F40" s="2107">
        <v>116612.88</v>
      </c>
      <c r="G40" s="2088">
        <v>439414.12</v>
      </c>
      <c r="H40" s="2088">
        <v>439414.12</v>
      </c>
      <c r="I40" s="2108">
        <v>456900.75</v>
      </c>
      <c r="J40" s="2088">
        <v>484314.79</v>
      </c>
      <c r="K40" s="2106">
        <v>513373.68</v>
      </c>
      <c r="L40" s="247"/>
      <c r="O40" s="247"/>
    </row>
    <row r="41" spans="1:15" ht="11.25" customHeight="1" x14ac:dyDescent="0.25">
      <c r="A41" s="128" t="s">
        <v>1466</v>
      </c>
      <c r="B41" s="60">
        <v>3</v>
      </c>
      <c r="C41" s="2088"/>
      <c r="D41" s="2088">
        <v>3689351</v>
      </c>
      <c r="E41" s="2106">
        <v>4507340</v>
      </c>
      <c r="F41" s="2107">
        <v>506290.91952</v>
      </c>
      <c r="G41" s="2088">
        <v>462970.77999999997</v>
      </c>
      <c r="H41" s="2088">
        <v>462970.77999999997</v>
      </c>
      <c r="I41" s="2108">
        <v>520215.65879999998</v>
      </c>
      <c r="J41" s="2088">
        <v>551423.37600000005</v>
      </c>
      <c r="K41" s="2106">
        <v>584503.19301000005</v>
      </c>
      <c r="L41" s="247"/>
      <c r="O41" s="247"/>
    </row>
    <row r="42" spans="1:15" ht="11.25" customHeight="1" x14ac:dyDescent="0.25">
      <c r="A42" s="128" t="s">
        <v>1590</v>
      </c>
      <c r="B42" s="60"/>
      <c r="C42" s="2088"/>
      <c r="D42" s="2088"/>
      <c r="E42" s="2106"/>
      <c r="F42" s="2107"/>
      <c r="G42" s="2088"/>
      <c r="H42" s="2106"/>
      <c r="I42" s="2108"/>
      <c r="J42" s="2088"/>
      <c r="K42" s="2106"/>
      <c r="L42" s="247"/>
    </row>
    <row r="43" spans="1:15" ht="11.25" customHeight="1" x14ac:dyDescent="0.25">
      <c r="A43" s="128" t="s">
        <v>1043</v>
      </c>
      <c r="B43" s="60"/>
      <c r="C43" s="2088"/>
      <c r="D43" s="2088"/>
      <c r="E43" s="2106"/>
      <c r="F43" s="2107"/>
      <c r="G43" s="2088"/>
      <c r="H43" s="2106"/>
      <c r="I43" s="2108"/>
      <c r="J43" s="2088"/>
      <c r="K43" s="2106"/>
      <c r="L43" s="247"/>
    </row>
    <row r="44" spans="1:15" ht="11.25" customHeight="1" x14ac:dyDescent="0.25">
      <c r="A44" s="128" t="s">
        <v>1591</v>
      </c>
      <c r="B44" s="60">
        <v>6</v>
      </c>
      <c r="C44" s="2088"/>
      <c r="D44" s="2088"/>
      <c r="E44" s="2106"/>
      <c r="F44" s="2107"/>
      <c r="G44" s="2088"/>
      <c r="H44" s="2106"/>
      <c r="I44" s="2108"/>
      <c r="J44" s="2088"/>
      <c r="K44" s="2106"/>
      <c r="L44" s="247"/>
    </row>
    <row r="45" spans="1:15" ht="11.25" customHeight="1" x14ac:dyDescent="0.25">
      <c r="A45" s="143" t="s">
        <v>1714</v>
      </c>
      <c r="B45" s="60"/>
      <c r="C45" s="91">
        <f t="shared" ref="C45:K45" si="4">SUM(C33:C44)</f>
        <v>0</v>
      </c>
      <c r="D45" s="91">
        <f t="shared" si="4"/>
        <v>46587245</v>
      </c>
      <c r="E45" s="92">
        <f t="shared" si="4"/>
        <v>49981263</v>
      </c>
      <c r="F45" s="93">
        <f t="shared" si="4"/>
        <v>60872209.553679995</v>
      </c>
      <c r="G45" s="91">
        <f t="shared" si="4"/>
        <v>57809423.780000009</v>
      </c>
      <c r="H45" s="92">
        <f t="shared" si="4"/>
        <v>57809423.780000009</v>
      </c>
      <c r="I45" s="90">
        <f t="shared" si="4"/>
        <v>65206499.685999997</v>
      </c>
      <c r="J45" s="91">
        <f t="shared" si="4"/>
        <v>69063857.157059997</v>
      </c>
      <c r="K45" s="92">
        <f t="shared" si="4"/>
        <v>73148803.798160002</v>
      </c>
      <c r="L45" s="247"/>
    </row>
    <row r="46" spans="1:15" ht="11.25" customHeight="1" x14ac:dyDescent="0.25">
      <c r="A46" s="250" t="str">
        <f>$A$14</f>
        <v>% increase</v>
      </c>
      <c r="B46" s="60">
        <f>$B$14</f>
        <v>4</v>
      </c>
      <c r="C46" s="700"/>
      <c r="D46" s="696">
        <f>IF(ISERROR((D45/C45)-1),0,((D45/C45)-1))</f>
        <v>0</v>
      </c>
      <c r="E46" s="697">
        <f t="shared" ref="E46:K46" si="5">IF(ISERROR((E45/D45)-1),0,((E45/D45)-1))</f>
        <v>7.285294504965889E-2</v>
      </c>
      <c r="F46" s="698">
        <f t="shared" si="5"/>
        <v>0.21790058713962468</v>
      </c>
      <c r="G46" s="696">
        <f t="shared" si="5"/>
        <v>-5.0315009035101221E-2</v>
      </c>
      <c r="H46" s="697">
        <f t="shared" si="5"/>
        <v>0</v>
      </c>
      <c r="I46" s="699">
        <f t="shared" si="5"/>
        <v>0.12795622966508646</v>
      </c>
      <c r="J46" s="696">
        <f t="shared" si="5"/>
        <v>5.9156027230950814E-2</v>
      </c>
      <c r="K46" s="697">
        <f t="shared" si="5"/>
        <v>5.914738633566774E-2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1486</v>
      </c>
      <c r="B48" s="671"/>
      <c r="C48" s="154">
        <f t="shared" ref="C48:K48" si="6">C13+C29+C45</f>
        <v>0</v>
      </c>
      <c r="D48" s="154">
        <f t="shared" si="6"/>
        <v>59131295</v>
      </c>
      <c r="E48" s="155">
        <f t="shared" si="6"/>
        <v>63493737</v>
      </c>
      <c r="F48" s="156">
        <f t="shared" si="6"/>
        <v>76745024.030000001</v>
      </c>
      <c r="G48" s="154">
        <f t="shared" si="6"/>
        <v>73239715.087120011</v>
      </c>
      <c r="H48" s="155">
        <f t="shared" si="6"/>
        <v>73239715.087120011</v>
      </c>
      <c r="I48" s="153">
        <f t="shared" si="6"/>
        <v>82372898.839907497</v>
      </c>
      <c r="J48" s="154">
        <f t="shared" si="6"/>
        <v>87315272.771466002</v>
      </c>
      <c r="K48" s="155">
        <f t="shared" si="6"/>
        <v>92554189.13544929</v>
      </c>
      <c r="L48" s="247"/>
    </row>
    <row r="49" spans="1:12" ht="11.25" customHeight="1" x14ac:dyDescent="0.25">
      <c r="A49" s="151"/>
      <c r="B49" s="60"/>
      <c r="C49" s="701"/>
      <c r="D49" s="696">
        <f>IF(ISERROR((D48/C48)-1),0,((D48/C48)-1))</f>
        <v>0</v>
      </c>
      <c r="E49" s="697">
        <f t="shared" ref="E49:K49" si="7">IF(ISERROR((E48/D48)-1),0,((E48/D48)-1))</f>
        <v>7.3775519375991916E-2</v>
      </c>
      <c r="F49" s="698">
        <f t="shared" si="7"/>
        <v>0.20870226980024809</v>
      </c>
      <c r="G49" s="696">
        <f t="shared" si="7"/>
        <v>-4.5674739009916143E-2</v>
      </c>
      <c r="H49" s="697">
        <f t="shared" si="7"/>
        <v>0</v>
      </c>
      <c r="I49" s="699">
        <f t="shared" si="7"/>
        <v>0.1247026117172001</v>
      </c>
      <c r="J49" s="696">
        <f t="shared" si="7"/>
        <v>6.0000000014131638E-2</v>
      </c>
      <c r="K49" s="697">
        <f t="shared" si="7"/>
        <v>5.9999999973605167E-2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868</v>
      </c>
      <c r="B51" s="60"/>
      <c r="C51" s="81"/>
      <c r="D51" s="81"/>
      <c r="E51" s="82"/>
      <c r="F51" s="83"/>
      <c r="G51" s="81"/>
      <c r="H51" s="82"/>
      <c r="I51" s="80"/>
      <c r="J51" s="81"/>
      <c r="K51" s="82"/>
      <c r="L51" s="247"/>
    </row>
    <row r="52" spans="1:12" ht="11.25" customHeight="1" x14ac:dyDescent="0.25">
      <c r="A52" s="68" t="s">
        <v>1251</v>
      </c>
      <c r="B52" s="60"/>
      <c r="C52" s="2088"/>
      <c r="D52" s="2088"/>
      <c r="E52" s="2106"/>
      <c r="F52" s="2107"/>
      <c r="G52" s="2088"/>
      <c r="H52" s="2106"/>
      <c r="I52" s="2108"/>
      <c r="J52" s="2088"/>
      <c r="K52" s="2106"/>
      <c r="L52" s="247"/>
    </row>
    <row r="53" spans="1:12" ht="11.25" customHeight="1" x14ac:dyDescent="0.25">
      <c r="A53" s="68" t="s">
        <v>1952</v>
      </c>
      <c r="B53" s="60"/>
      <c r="C53" s="2088"/>
      <c r="D53" s="2088"/>
      <c r="E53" s="2106"/>
      <c r="F53" s="2107"/>
      <c r="G53" s="2088"/>
      <c r="H53" s="2106"/>
      <c r="I53" s="2108"/>
      <c r="J53" s="2088"/>
      <c r="K53" s="2106"/>
      <c r="L53" s="247"/>
    </row>
    <row r="54" spans="1:12" ht="11.25" customHeight="1" x14ac:dyDescent="0.25">
      <c r="A54" s="68" t="s">
        <v>718</v>
      </c>
      <c r="B54" s="60"/>
      <c r="C54" s="2088"/>
      <c r="D54" s="2088"/>
      <c r="E54" s="2106"/>
      <c r="F54" s="2107"/>
      <c r="G54" s="2088"/>
      <c r="H54" s="2106"/>
      <c r="I54" s="2108"/>
      <c r="J54" s="2088"/>
      <c r="K54" s="2106"/>
      <c r="L54" s="247"/>
    </row>
    <row r="55" spans="1:12" ht="11.25" customHeight="1" x14ac:dyDescent="0.25">
      <c r="A55" s="68" t="s">
        <v>1042</v>
      </c>
      <c r="B55" s="60"/>
      <c r="C55" s="2088"/>
      <c r="D55" s="2088"/>
      <c r="E55" s="2106"/>
      <c r="F55" s="2107"/>
      <c r="G55" s="2088"/>
      <c r="H55" s="2106"/>
      <c r="I55" s="2108"/>
      <c r="J55" s="2088"/>
      <c r="K55" s="2106"/>
      <c r="L55" s="247"/>
    </row>
    <row r="56" spans="1:12" ht="11.25" customHeight="1" x14ac:dyDescent="0.25">
      <c r="A56" s="68" t="s">
        <v>720</v>
      </c>
      <c r="B56" s="60"/>
      <c r="C56" s="2088"/>
      <c r="D56" s="2088"/>
      <c r="E56" s="2106"/>
      <c r="F56" s="2107"/>
      <c r="G56" s="2088"/>
      <c r="H56" s="2106"/>
      <c r="I56" s="2108"/>
      <c r="J56" s="2088"/>
      <c r="K56" s="2106"/>
      <c r="L56" s="247"/>
    </row>
    <row r="57" spans="1:12" ht="11.25" customHeight="1" x14ac:dyDescent="0.25">
      <c r="A57" s="68" t="s">
        <v>2106</v>
      </c>
      <c r="B57" s="60">
        <v>3</v>
      </c>
      <c r="C57" s="2088"/>
      <c r="D57" s="2088"/>
      <c r="E57" s="2106"/>
      <c r="F57" s="2107"/>
      <c r="G57" s="2088"/>
      <c r="H57" s="2106"/>
      <c r="I57" s="2108"/>
      <c r="J57" s="2088"/>
      <c r="K57" s="2106"/>
      <c r="L57" s="247"/>
    </row>
    <row r="58" spans="1:12" ht="11.25" customHeight="1" x14ac:dyDescent="0.25">
      <c r="A58" s="68" t="s">
        <v>1953</v>
      </c>
      <c r="B58" s="60">
        <v>3</v>
      </c>
      <c r="C58" s="2088"/>
      <c r="D58" s="2088"/>
      <c r="E58" s="2106"/>
      <c r="F58" s="2107"/>
      <c r="G58" s="2088"/>
      <c r="H58" s="2106"/>
      <c r="I58" s="2108"/>
      <c r="J58" s="2088"/>
      <c r="K58" s="2106"/>
      <c r="L58" s="247"/>
    </row>
    <row r="59" spans="1:12" ht="11.25" customHeight="1" x14ac:dyDescent="0.25">
      <c r="A59" s="68" t="s">
        <v>2107</v>
      </c>
      <c r="B59" s="60">
        <v>3</v>
      </c>
      <c r="C59" s="2088"/>
      <c r="D59" s="2088"/>
      <c r="E59" s="2106"/>
      <c r="F59" s="2107"/>
      <c r="G59" s="2088"/>
      <c r="H59" s="2106"/>
      <c r="I59" s="2108"/>
      <c r="J59" s="2088"/>
      <c r="K59" s="2106"/>
      <c r="L59" s="247"/>
    </row>
    <row r="60" spans="1:12" ht="11.25" customHeight="1" x14ac:dyDescent="0.25">
      <c r="A60" s="68" t="s">
        <v>1466</v>
      </c>
      <c r="B60" s="60">
        <v>3</v>
      </c>
      <c r="C60" s="2088"/>
      <c r="D60" s="2088"/>
      <c r="E60" s="2106"/>
      <c r="F60" s="2107"/>
      <c r="G60" s="2088"/>
      <c r="H60" s="2106"/>
      <c r="I60" s="2108"/>
      <c r="J60" s="2088"/>
      <c r="K60" s="2106"/>
      <c r="L60" s="247"/>
    </row>
    <row r="61" spans="1:12" ht="11.25" customHeight="1" x14ac:dyDescent="0.25">
      <c r="A61" s="68" t="s">
        <v>2111</v>
      </c>
      <c r="B61" s="60"/>
      <c r="C61" s="2088"/>
      <c r="D61" s="2088"/>
      <c r="E61" s="2106"/>
      <c r="F61" s="2107"/>
      <c r="G61" s="2088"/>
      <c r="H61" s="2106"/>
      <c r="I61" s="2108"/>
      <c r="J61" s="2088"/>
      <c r="K61" s="2106"/>
      <c r="L61" s="247"/>
    </row>
    <row r="62" spans="1:12" ht="11.25" customHeight="1" x14ac:dyDescent="0.25">
      <c r="A62" s="68" t="s">
        <v>1590</v>
      </c>
      <c r="B62" s="60"/>
      <c r="C62" s="2088"/>
      <c r="D62" s="2088"/>
      <c r="E62" s="2106"/>
      <c r="F62" s="2107"/>
      <c r="G62" s="2088"/>
      <c r="H62" s="2106"/>
      <c r="I62" s="2108"/>
      <c r="J62" s="2088"/>
      <c r="K62" s="2106"/>
      <c r="L62" s="247"/>
    </row>
    <row r="63" spans="1:12" ht="11.25" customHeight="1" x14ac:dyDescent="0.25">
      <c r="A63" s="68" t="s">
        <v>1043</v>
      </c>
      <c r="B63" s="60"/>
      <c r="C63" s="2088"/>
      <c r="D63" s="2088"/>
      <c r="E63" s="2106"/>
      <c r="F63" s="2107"/>
      <c r="G63" s="2088"/>
      <c r="H63" s="2106"/>
      <c r="I63" s="2108"/>
      <c r="J63" s="2088"/>
      <c r="K63" s="2106"/>
      <c r="L63" s="247"/>
    </row>
    <row r="64" spans="1:12" ht="11.25" customHeight="1" x14ac:dyDescent="0.25">
      <c r="A64" s="68" t="s">
        <v>1591</v>
      </c>
      <c r="B64" s="60">
        <v>6</v>
      </c>
      <c r="C64" s="2088"/>
      <c r="D64" s="2088"/>
      <c r="E64" s="2106"/>
      <c r="F64" s="2107"/>
      <c r="G64" s="2088"/>
      <c r="H64" s="2106"/>
      <c r="I64" s="2108"/>
      <c r="J64" s="2088"/>
      <c r="K64" s="2106"/>
      <c r="L64" s="247"/>
    </row>
    <row r="65" spans="1:12" ht="11.25" customHeight="1" x14ac:dyDescent="0.25">
      <c r="A65" s="143" t="s">
        <v>1275</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7"/>
    </row>
    <row r="66" spans="1:12" ht="11.25" customHeight="1" x14ac:dyDescent="0.25">
      <c r="A66" s="250" t="str">
        <f>$A$14</f>
        <v>% increase</v>
      </c>
      <c r="B66" s="60">
        <f>$B$14</f>
        <v>4</v>
      </c>
      <c r="C66" s="700"/>
      <c r="D66" s="696">
        <f>IF(ISERROR((D65/C65)-1),0,((D65/C65)-1))</f>
        <v>0</v>
      </c>
      <c r="E66" s="697">
        <f t="shared" ref="E66:K66" si="9">IF(ISERROR((E65/D65)-1),0,((E65/D65)-1))</f>
        <v>0</v>
      </c>
      <c r="F66" s="698">
        <f t="shared" si="9"/>
        <v>0</v>
      </c>
      <c r="G66" s="696">
        <f t="shared" si="9"/>
        <v>0</v>
      </c>
      <c r="H66" s="697">
        <f t="shared" si="9"/>
        <v>0</v>
      </c>
      <c r="I66" s="699">
        <f t="shared" si="9"/>
        <v>0</v>
      </c>
      <c r="J66" s="696">
        <f t="shared" si="9"/>
        <v>0</v>
      </c>
      <c r="K66" s="697">
        <f t="shared" si="9"/>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1251</v>
      </c>
      <c r="B69" s="60"/>
      <c r="C69" s="2088"/>
      <c r="D69" s="2088"/>
      <c r="E69" s="2106"/>
      <c r="F69" s="2107"/>
      <c r="G69" s="2088"/>
      <c r="H69" s="2106"/>
      <c r="I69" s="2108"/>
      <c r="J69" s="2088"/>
      <c r="K69" s="2106"/>
      <c r="L69" s="247"/>
    </row>
    <row r="70" spans="1:12" ht="11.25" customHeight="1" x14ac:dyDescent="0.25">
      <c r="A70" s="128" t="s">
        <v>1952</v>
      </c>
      <c r="B70" s="60"/>
      <c r="C70" s="2088"/>
      <c r="D70" s="2088"/>
      <c r="E70" s="2106"/>
      <c r="F70" s="2107"/>
      <c r="G70" s="2088"/>
      <c r="H70" s="2106"/>
      <c r="I70" s="2108"/>
      <c r="J70" s="2088"/>
      <c r="K70" s="2106"/>
      <c r="L70" s="247"/>
    </row>
    <row r="71" spans="1:12" ht="11.25" customHeight="1" x14ac:dyDescent="0.25">
      <c r="A71" s="128" t="s">
        <v>718</v>
      </c>
      <c r="B71" s="60"/>
      <c r="C71" s="2088"/>
      <c r="D71" s="2088"/>
      <c r="E71" s="2106"/>
      <c r="F71" s="2107"/>
      <c r="G71" s="2088"/>
      <c r="H71" s="2106"/>
      <c r="I71" s="2108"/>
      <c r="J71" s="2088"/>
      <c r="K71" s="2106"/>
      <c r="L71" s="247"/>
    </row>
    <row r="72" spans="1:12" ht="11.25" customHeight="1" x14ac:dyDescent="0.25">
      <c r="A72" s="128" t="s">
        <v>1042</v>
      </c>
      <c r="B72" s="60"/>
      <c r="C72" s="2088"/>
      <c r="D72" s="2088"/>
      <c r="E72" s="2106"/>
      <c r="F72" s="2107"/>
      <c r="G72" s="2088"/>
      <c r="H72" s="2106"/>
      <c r="I72" s="2108"/>
      <c r="J72" s="2088"/>
      <c r="K72" s="2106"/>
      <c r="L72" s="247"/>
    </row>
    <row r="73" spans="1:12" ht="11.25" customHeight="1" x14ac:dyDescent="0.25">
      <c r="A73" s="128" t="s">
        <v>720</v>
      </c>
      <c r="B73" s="60"/>
      <c r="C73" s="2088"/>
      <c r="D73" s="2088"/>
      <c r="E73" s="2106"/>
      <c r="F73" s="2107"/>
      <c r="G73" s="2088"/>
      <c r="H73" s="2106"/>
      <c r="I73" s="2108"/>
      <c r="J73" s="2088"/>
      <c r="K73" s="2106"/>
      <c r="L73" s="247"/>
    </row>
    <row r="74" spans="1:12" ht="11.25" customHeight="1" x14ac:dyDescent="0.25">
      <c r="A74" s="128" t="s">
        <v>2106</v>
      </c>
      <c r="B74" s="60">
        <v>3</v>
      </c>
      <c r="C74" s="2088"/>
      <c r="D74" s="2088"/>
      <c r="E74" s="2106"/>
      <c r="F74" s="2107"/>
      <c r="G74" s="2088"/>
      <c r="H74" s="2106"/>
      <c r="I74" s="2108"/>
      <c r="J74" s="2088"/>
      <c r="K74" s="2106"/>
      <c r="L74" s="247"/>
    </row>
    <row r="75" spans="1:12" ht="11.25" customHeight="1" x14ac:dyDescent="0.25">
      <c r="A75" s="128" t="s">
        <v>1953</v>
      </c>
      <c r="B75" s="60">
        <v>3</v>
      </c>
      <c r="C75" s="2088"/>
      <c r="D75" s="2088"/>
      <c r="E75" s="2106"/>
      <c r="F75" s="2107"/>
      <c r="G75" s="2088"/>
      <c r="H75" s="2106"/>
      <c r="I75" s="2108"/>
      <c r="J75" s="2088"/>
      <c r="K75" s="2106"/>
      <c r="L75" s="247"/>
    </row>
    <row r="76" spans="1:12" ht="11.25" customHeight="1" x14ac:dyDescent="0.25">
      <c r="A76" s="128" t="s">
        <v>2107</v>
      </c>
      <c r="B76" s="60">
        <v>3</v>
      </c>
      <c r="C76" s="2088"/>
      <c r="D76" s="2088"/>
      <c r="E76" s="2106"/>
      <c r="F76" s="2107"/>
      <c r="G76" s="2088"/>
      <c r="H76" s="2106"/>
      <c r="I76" s="2108"/>
      <c r="J76" s="2088"/>
      <c r="K76" s="2106"/>
      <c r="L76" s="247"/>
    </row>
    <row r="77" spans="1:12" ht="11.25" customHeight="1" x14ac:dyDescent="0.25">
      <c r="A77" s="128" t="s">
        <v>1466</v>
      </c>
      <c r="B77" s="60">
        <v>3</v>
      </c>
      <c r="C77" s="2088"/>
      <c r="D77" s="2088"/>
      <c r="E77" s="2106"/>
      <c r="F77" s="2107"/>
      <c r="G77" s="2088"/>
      <c r="H77" s="2106"/>
      <c r="I77" s="2108"/>
      <c r="J77" s="2088"/>
      <c r="K77" s="2106"/>
      <c r="L77" s="247"/>
    </row>
    <row r="78" spans="1:12" ht="11.25" customHeight="1" x14ac:dyDescent="0.25">
      <c r="A78" s="128" t="s">
        <v>1590</v>
      </c>
      <c r="B78" s="60"/>
      <c r="C78" s="2088"/>
      <c r="D78" s="2088"/>
      <c r="E78" s="2106"/>
      <c r="F78" s="2107"/>
      <c r="G78" s="2088"/>
      <c r="H78" s="2106"/>
      <c r="I78" s="2108"/>
      <c r="J78" s="2088"/>
      <c r="K78" s="2106"/>
      <c r="L78" s="247"/>
    </row>
    <row r="79" spans="1:12" ht="11.25" customHeight="1" x14ac:dyDescent="0.25">
      <c r="A79" s="128" t="s">
        <v>1043</v>
      </c>
      <c r="B79" s="60"/>
      <c r="C79" s="2088"/>
      <c r="D79" s="2088"/>
      <c r="E79" s="2106"/>
      <c r="F79" s="2107"/>
      <c r="G79" s="2088"/>
      <c r="H79" s="2106"/>
      <c r="I79" s="2108"/>
      <c r="J79" s="2088"/>
      <c r="K79" s="2106"/>
      <c r="L79" s="247"/>
    </row>
    <row r="80" spans="1:12" ht="11.25" customHeight="1" x14ac:dyDescent="0.25">
      <c r="A80" s="128" t="s">
        <v>1591</v>
      </c>
      <c r="B80" s="60">
        <v>6</v>
      </c>
      <c r="C80" s="2088"/>
      <c r="D80" s="2088"/>
      <c r="E80" s="2106"/>
      <c r="F80" s="2107"/>
      <c r="G80" s="2088"/>
      <c r="H80" s="2106"/>
      <c r="I80" s="2108"/>
      <c r="J80" s="2088"/>
      <c r="K80" s="2106"/>
      <c r="L80" s="247"/>
    </row>
    <row r="81" spans="1:12" ht="11.25" customHeight="1" x14ac:dyDescent="0.25">
      <c r="A81" s="143" t="s">
        <v>270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7"/>
    </row>
    <row r="82" spans="1:12" ht="11.25" customHeight="1" x14ac:dyDescent="0.25">
      <c r="A82" s="250" t="str">
        <f>$A$14</f>
        <v>% increase</v>
      </c>
      <c r="B82" s="60">
        <f>$B$14</f>
        <v>4</v>
      </c>
      <c r="C82" s="700"/>
      <c r="D82" s="696">
        <f>IF(ISERROR((D81/C81)-1),0,((D81/C81)-1))</f>
        <v>0</v>
      </c>
      <c r="E82" s="697">
        <f t="shared" ref="E82:K82" si="11">IF(ISERROR((E81/D81)-1),0,((E81/D81)-1))</f>
        <v>0</v>
      </c>
      <c r="F82" s="698">
        <f t="shared" si="11"/>
        <v>0</v>
      </c>
      <c r="G82" s="696">
        <f t="shared" si="11"/>
        <v>0</v>
      </c>
      <c r="H82" s="697">
        <f t="shared" si="11"/>
        <v>0</v>
      </c>
      <c r="I82" s="699">
        <f t="shared" si="11"/>
        <v>0</v>
      </c>
      <c r="J82" s="696">
        <f t="shared" si="11"/>
        <v>0</v>
      </c>
      <c r="K82" s="697">
        <f t="shared" si="11"/>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1251</v>
      </c>
      <c r="B85" s="60"/>
      <c r="C85" s="2088"/>
      <c r="D85" s="2088"/>
      <c r="E85" s="2106"/>
      <c r="F85" s="2107"/>
      <c r="G85" s="2088"/>
      <c r="H85" s="2106"/>
      <c r="I85" s="2108"/>
      <c r="J85" s="2088"/>
      <c r="K85" s="2106"/>
      <c r="L85" s="247"/>
    </row>
    <row r="86" spans="1:12" ht="11.25" customHeight="1" x14ac:dyDescent="0.25">
      <c r="A86" s="128" t="s">
        <v>1952</v>
      </c>
      <c r="B86" s="60"/>
      <c r="C86" s="2088"/>
      <c r="D86" s="2088"/>
      <c r="E86" s="2106"/>
      <c r="F86" s="2107"/>
      <c r="G86" s="2088"/>
      <c r="H86" s="2106"/>
      <c r="I86" s="2108"/>
      <c r="J86" s="2088"/>
      <c r="K86" s="2106"/>
      <c r="L86" s="247"/>
    </row>
    <row r="87" spans="1:12" ht="11.25" customHeight="1" x14ac:dyDescent="0.25">
      <c r="A87" s="128" t="s">
        <v>718</v>
      </c>
      <c r="B87" s="60"/>
      <c r="C87" s="2088"/>
      <c r="D87" s="2088"/>
      <c r="E87" s="2106"/>
      <c r="F87" s="2107"/>
      <c r="G87" s="2088"/>
      <c r="H87" s="2106"/>
      <c r="I87" s="2108"/>
      <c r="J87" s="2088"/>
      <c r="K87" s="2106"/>
      <c r="L87" s="247"/>
    </row>
    <row r="88" spans="1:12" ht="11.25" customHeight="1" x14ac:dyDescent="0.25">
      <c r="A88" s="128" t="s">
        <v>1042</v>
      </c>
      <c r="B88" s="60"/>
      <c r="C88" s="2088"/>
      <c r="D88" s="2088"/>
      <c r="E88" s="2106"/>
      <c r="F88" s="2107"/>
      <c r="G88" s="2088"/>
      <c r="H88" s="2106"/>
      <c r="I88" s="2108"/>
      <c r="J88" s="2088"/>
      <c r="K88" s="2106"/>
      <c r="L88" s="247"/>
    </row>
    <row r="89" spans="1:12" ht="11.25" customHeight="1" x14ac:dyDescent="0.25">
      <c r="A89" s="128" t="s">
        <v>720</v>
      </c>
      <c r="B89" s="60"/>
      <c r="C89" s="2088"/>
      <c r="D89" s="2088"/>
      <c r="E89" s="2106"/>
      <c r="F89" s="2107"/>
      <c r="G89" s="2088"/>
      <c r="H89" s="2106"/>
      <c r="I89" s="2108"/>
      <c r="J89" s="2088"/>
      <c r="K89" s="2106"/>
      <c r="L89" s="247"/>
    </row>
    <row r="90" spans="1:12" ht="11.25" customHeight="1" x14ac:dyDescent="0.25">
      <c r="A90" s="128" t="s">
        <v>2106</v>
      </c>
      <c r="B90" s="60">
        <v>3</v>
      </c>
      <c r="C90" s="2088"/>
      <c r="D90" s="2088"/>
      <c r="E90" s="2106"/>
      <c r="F90" s="2107"/>
      <c r="G90" s="2088"/>
      <c r="H90" s="2106"/>
      <c r="I90" s="2108"/>
      <c r="J90" s="2088"/>
      <c r="K90" s="2106"/>
      <c r="L90" s="247"/>
    </row>
    <row r="91" spans="1:12" ht="11.25" customHeight="1" x14ac:dyDescent="0.25">
      <c r="A91" s="128" t="s">
        <v>1953</v>
      </c>
      <c r="B91" s="60">
        <v>3</v>
      </c>
      <c r="C91" s="2088"/>
      <c r="D91" s="2088"/>
      <c r="E91" s="2106"/>
      <c r="F91" s="2107"/>
      <c r="G91" s="2088"/>
      <c r="H91" s="2106"/>
      <c r="I91" s="2108"/>
      <c r="J91" s="2088"/>
      <c r="K91" s="2106"/>
      <c r="L91" s="247"/>
    </row>
    <row r="92" spans="1:12" ht="11.25" customHeight="1" x14ac:dyDescent="0.25">
      <c r="A92" s="128" t="s">
        <v>2107</v>
      </c>
      <c r="B92" s="60">
        <v>3</v>
      </c>
      <c r="C92" s="2088"/>
      <c r="D92" s="2088"/>
      <c r="E92" s="2106"/>
      <c r="F92" s="2107"/>
      <c r="G92" s="2088"/>
      <c r="H92" s="2106"/>
      <c r="I92" s="2108"/>
      <c r="J92" s="2088"/>
      <c r="K92" s="2106"/>
      <c r="L92" s="247"/>
    </row>
    <row r="93" spans="1:12" ht="11.25" customHeight="1" x14ac:dyDescent="0.25">
      <c r="A93" s="128" t="s">
        <v>1466</v>
      </c>
      <c r="B93" s="60">
        <v>3</v>
      </c>
      <c r="C93" s="2088"/>
      <c r="D93" s="2088"/>
      <c r="E93" s="2106"/>
      <c r="F93" s="2107"/>
      <c r="G93" s="2088"/>
      <c r="H93" s="2106"/>
      <c r="I93" s="2108"/>
      <c r="J93" s="2088"/>
      <c r="K93" s="2106"/>
      <c r="L93" s="247"/>
    </row>
    <row r="94" spans="1:12" ht="11.25" customHeight="1" x14ac:dyDescent="0.25">
      <c r="A94" s="128" t="s">
        <v>1590</v>
      </c>
      <c r="B94" s="60"/>
      <c r="C94" s="2088"/>
      <c r="D94" s="2088"/>
      <c r="E94" s="2106"/>
      <c r="F94" s="2107"/>
      <c r="G94" s="2088"/>
      <c r="H94" s="2106"/>
      <c r="I94" s="2108"/>
      <c r="J94" s="2088"/>
      <c r="K94" s="2106"/>
      <c r="L94" s="247"/>
    </row>
    <row r="95" spans="1:12" ht="11.25" customHeight="1" x14ac:dyDescent="0.25">
      <c r="A95" s="128" t="s">
        <v>1043</v>
      </c>
      <c r="B95" s="60"/>
      <c r="C95" s="2088"/>
      <c r="D95" s="2088"/>
      <c r="E95" s="2106"/>
      <c r="F95" s="2107"/>
      <c r="G95" s="2088"/>
      <c r="H95" s="2106"/>
      <c r="I95" s="2108"/>
      <c r="J95" s="2088"/>
      <c r="K95" s="2106"/>
      <c r="L95" s="247"/>
    </row>
    <row r="96" spans="1:12" ht="11.25" customHeight="1" x14ac:dyDescent="0.25">
      <c r="A96" s="128" t="s">
        <v>1591</v>
      </c>
      <c r="B96" s="60">
        <v>6</v>
      </c>
      <c r="C96" s="2088"/>
      <c r="D96" s="2088"/>
      <c r="E96" s="2106"/>
      <c r="F96" s="2107"/>
      <c r="G96" s="2088"/>
      <c r="H96" s="2106"/>
      <c r="I96" s="2108"/>
      <c r="J96" s="2088"/>
      <c r="K96" s="2106"/>
      <c r="L96" s="247"/>
    </row>
    <row r="97" spans="1:14" ht="11.25" customHeight="1" x14ac:dyDescent="0.25">
      <c r="A97" s="143" t="s">
        <v>1249</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7"/>
    </row>
    <row r="98" spans="1:14" ht="11.25" customHeight="1" x14ac:dyDescent="0.25">
      <c r="A98" s="250" t="str">
        <f>$A$14</f>
        <v>% increase</v>
      </c>
      <c r="B98" s="60">
        <f>$B$14</f>
        <v>4</v>
      </c>
      <c r="C98" s="700"/>
      <c r="D98" s="696">
        <f>IF(ISERROR((D97/C97)-1),0,((D97/C97)-1))</f>
        <v>0</v>
      </c>
      <c r="E98" s="697">
        <f t="shared" ref="E98:K98" si="13">IF(ISERROR((E97/D97)-1),0,((E97/D97)-1))</f>
        <v>0</v>
      </c>
      <c r="F98" s="698">
        <f t="shared" si="13"/>
        <v>0</v>
      </c>
      <c r="G98" s="696">
        <f t="shared" si="13"/>
        <v>0</v>
      </c>
      <c r="H98" s="697">
        <f t="shared" si="13"/>
        <v>0</v>
      </c>
      <c r="I98" s="699">
        <f t="shared" si="13"/>
        <v>0</v>
      </c>
      <c r="J98" s="696">
        <f t="shared" si="13"/>
        <v>0</v>
      </c>
      <c r="K98" s="697">
        <f t="shared" si="13"/>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1487</v>
      </c>
      <c r="B100" s="671"/>
      <c r="C100" s="154">
        <f>C65+C81+C97</f>
        <v>0</v>
      </c>
      <c r="D100" s="154">
        <f t="shared" ref="D100:K100" si="14">D65+D81+D97</f>
        <v>0</v>
      </c>
      <c r="E100" s="155">
        <f t="shared" si="14"/>
        <v>0</v>
      </c>
      <c r="F100" s="156">
        <f t="shared" si="14"/>
        <v>0</v>
      </c>
      <c r="G100" s="154">
        <f t="shared" si="14"/>
        <v>0</v>
      </c>
      <c r="H100" s="155">
        <f t="shared" si="14"/>
        <v>0</v>
      </c>
      <c r="I100" s="153">
        <f t="shared" si="14"/>
        <v>0</v>
      </c>
      <c r="J100" s="154">
        <f t="shared" si="14"/>
        <v>0</v>
      </c>
      <c r="K100" s="155">
        <f t="shared" si="14"/>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541</v>
      </c>
      <c r="B102" s="259"/>
      <c r="C102" s="161">
        <f>C48+C100</f>
        <v>0</v>
      </c>
      <c r="D102" s="161">
        <f>D48+D100</f>
        <v>59131295</v>
      </c>
      <c r="E102" s="162">
        <f t="shared" ref="E102:K102" si="15">E48+E100</f>
        <v>63493737</v>
      </c>
      <c r="F102" s="163">
        <f t="shared" si="15"/>
        <v>76745024.030000001</v>
      </c>
      <c r="G102" s="161">
        <f t="shared" si="15"/>
        <v>73239715.087120011</v>
      </c>
      <c r="H102" s="162">
        <f t="shared" si="15"/>
        <v>73239715.087120011</v>
      </c>
      <c r="I102" s="160">
        <f t="shared" si="15"/>
        <v>82372898.839907497</v>
      </c>
      <c r="J102" s="161">
        <f t="shared" si="15"/>
        <v>87315272.771466002</v>
      </c>
      <c r="K102" s="162">
        <f t="shared" si="15"/>
        <v>92554189.13544929</v>
      </c>
      <c r="L102" s="247"/>
    </row>
    <row r="103" spans="1:14" ht="12.75" customHeight="1" x14ac:dyDescent="0.25">
      <c r="A103" s="250" t="str">
        <f>$A$14</f>
        <v>% increase</v>
      </c>
      <c r="B103" s="60">
        <f>$B$14</f>
        <v>4</v>
      </c>
      <c r="C103" s="701"/>
      <c r="D103" s="696">
        <f>IF(ISERROR((D102/C102)-1),0,((D102/C102)-1))</f>
        <v>0</v>
      </c>
      <c r="E103" s="699">
        <f t="shared" ref="E103:K103" si="16">IF(ISERROR((E102/D102)-1),0,((E102/D102)-1))</f>
        <v>7.3775519375991916E-2</v>
      </c>
      <c r="F103" s="698">
        <f t="shared" si="16"/>
        <v>0.20870226980024809</v>
      </c>
      <c r="G103" s="696">
        <f t="shared" si="16"/>
        <v>-4.5674739009916143E-2</v>
      </c>
      <c r="H103" s="697">
        <f t="shared" si="16"/>
        <v>0</v>
      </c>
      <c r="I103" s="699">
        <f t="shared" si="16"/>
        <v>0.1247026117172001</v>
      </c>
      <c r="J103" s="696">
        <f t="shared" si="16"/>
        <v>6.0000000014131638E-2</v>
      </c>
      <c r="K103" s="697">
        <f t="shared" si="16"/>
        <v>5.9999999973605167E-2</v>
      </c>
      <c r="L103" s="238"/>
      <c r="M103" s="124"/>
      <c r="N103" s="124"/>
    </row>
    <row r="104" spans="1:14" ht="12.75" customHeight="1" x14ac:dyDescent="0.25">
      <c r="A104" s="159" t="s">
        <v>1378</v>
      </c>
      <c r="B104" s="103" t="s">
        <v>2160</v>
      </c>
      <c r="C104" s="108">
        <f t="shared" ref="C104:K104" si="17">C29+C45+C81+C97</f>
        <v>0</v>
      </c>
      <c r="D104" s="108">
        <f t="shared" si="17"/>
        <v>49251332</v>
      </c>
      <c r="E104" s="109">
        <f t="shared" si="17"/>
        <v>53150282</v>
      </c>
      <c r="F104" s="107">
        <f t="shared" si="17"/>
        <v>65742054.199999996</v>
      </c>
      <c r="G104" s="108">
        <f t="shared" si="17"/>
        <v>62236745.257120006</v>
      </c>
      <c r="H104" s="106">
        <f t="shared" si="17"/>
        <v>62236745.257120006</v>
      </c>
      <c r="I104" s="109">
        <f t="shared" si="17"/>
        <v>70709750.82010749</v>
      </c>
      <c r="J104" s="108">
        <f t="shared" si="17"/>
        <v>74952335.870478004</v>
      </c>
      <c r="K104" s="106">
        <f t="shared" si="17"/>
        <v>79449476.020401999</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1583</v>
      </c>
      <c r="B106" s="897"/>
      <c r="C106" s="939"/>
      <c r="D106" s="939"/>
      <c r="E106" s="939"/>
      <c r="F106" s="939"/>
      <c r="G106" s="939"/>
      <c r="H106" s="939"/>
      <c r="I106" s="939"/>
      <c r="J106" s="939"/>
      <c r="K106" s="939"/>
      <c r="L106" s="921"/>
      <c r="M106" s="921"/>
      <c r="N106" s="921"/>
    </row>
    <row r="107" spans="1:14" s="586" customFormat="1" x14ac:dyDescent="0.25">
      <c r="A107" s="1271" t="s">
        <v>639</v>
      </c>
      <c r="B107" s="897"/>
      <c r="C107" s="939"/>
      <c r="D107" s="939"/>
      <c r="E107" s="939"/>
      <c r="F107" s="939"/>
      <c r="G107" s="939"/>
      <c r="H107" s="939"/>
      <c r="I107" s="939"/>
      <c r="J107" s="939"/>
      <c r="K107" s="939"/>
      <c r="L107" s="921"/>
      <c r="M107" s="921"/>
      <c r="N107" s="921"/>
    </row>
    <row r="108" spans="1:14" s="586" customFormat="1" x14ac:dyDescent="0.25">
      <c r="A108" s="1120" t="s">
        <v>2130</v>
      </c>
      <c r="B108" s="897"/>
      <c r="C108" s="939"/>
      <c r="D108" s="939"/>
      <c r="E108" s="939"/>
      <c r="F108" s="939"/>
      <c r="G108" s="939"/>
      <c r="H108" s="939"/>
      <c r="I108" s="939"/>
      <c r="J108" s="939"/>
      <c r="K108" s="939"/>
      <c r="L108" s="921"/>
      <c r="M108" s="921"/>
      <c r="N108" s="921"/>
    </row>
    <row r="109" spans="1:14" s="586" customFormat="1" x14ac:dyDescent="0.25">
      <c r="A109" s="1271" t="s">
        <v>1584</v>
      </c>
      <c r="B109" s="907"/>
      <c r="C109" s="943"/>
    </row>
    <row r="110" spans="1:14" s="586" customFormat="1" x14ac:dyDescent="0.25">
      <c r="A110" s="1271" t="s">
        <v>128</v>
      </c>
      <c r="B110" s="907"/>
      <c r="C110" s="943"/>
    </row>
    <row r="111" spans="1:14" s="586" customFormat="1" x14ac:dyDescent="0.25">
      <c r="A111" s="1271" t="s">
        <v>1954</v>
      </c>
      <c r="B111" s="907"/>
      <c r="C111" s="943"/>
    </row>
    <row r="112" spans="1:14" s="586" customFormat="1" x14ac:dyDescent="0.25">
      <c r="A112" s="1271" t="s">
        <v>2159</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1634</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D12 F6:K12 E6:E9 E11:E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9" activePane="bottomRight" state="frozen"/>
      <selection pane="topRight"/>
      <selection pane="bottomLeft"/>
      <selection pane="bottomRight" activeCell="F31" sqref="F31"/>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LIM471 Ephraim Mogale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708" t="s">
        <v>2127</v>
      </c>
      <c r="D2" s="2727" t="s">
        <v>112</v>
      </c>
      <c r="E2" s="1944" t="s">
        <v>2129</v>
      </c>
      <c r="F2" s="2727" t="s">
        <v>113</v>
      </c>
      <c r="G2" s="2727" t="s">
        <v>715</v>
      </c>
      <c r="H2" s="708" t="s">
        <v>923</v>
      </c>
      <c r="I2" s="708" t="s">
        <v>924</v>
      </c>
    </row>
    <row r="3" spans="1:9" ht="29.25" customHeight="1" x14ac:dyDescent="0.25">
      <c r="A3" s="58" t="s">
        <v>733</v>
      </c>
      <c r="B3" s="1386"/>
      <c r="C3" s="2709"/>
      <c r="D3" s="2728"/>
      <c r="E3" s="1943" t="s">
        <v>2128</v>
      </c>
      <c r="F3" s="2728"/>
      <c r="G3" s="2728"/>
      <c r="H3" s="872"/>
      <c r="I3" s="872" t="s">
        <v>1718</v>
      </c>
    </row>
    <row r="4" spans="1:9" ht="11.25" customHeight="1" x14ac:dyDescent="0.25">
      <c r="A4" s="127" t="s">
        <v>111</v>
      </c>
      <c r="B4" s="60">
        <v>3</v>
      </c>
      <c r="C4" s="709"/>
      <c r="D4" s="710"/>
      <c r="E4" s="710"/>
      <c r="F4" s="710"/>
      <c r="G4" s="269"/>
      <c r="H4" s="270"/>
      <c r="I4" s="711"/>
    </row>
    <row r="5" spans="1:9" ht="11.25" customHeight="1" x14ac:dyDescent="0.25">
      <c r="A5" s="128" t="s">
        <v>679</v>
      </c>
      <c r="B5" s="60">
        <v>4</v>
      </c>
      <c r="C5" s="2447"/>
      <c r="D5" s="2135"/>
      <c r="E5" s="2135"/>
      <c r="F5" s="2135"/>
      <c r="G5" s="1467"/>
      <c r="H5" s="1468"/>
      <c r="I5" s="711">
        <f t="shared" ref="I5:I10" si="0">SUM(D5:F5)</f>
        <v>0</v>
      </c>
    </row>
    <row r="6" spans="1:9" ht="11.25" customHeight="1" x14ac:dyDescent="0.25">
      <c r="A6" s="128" t="s">
        <v>1252</v>
      </c>
      <c r="B6" s="60"/>
      <c r="C6" s="2447"/>
      <c r="D6" s="2135"/>
      <c r="E6" s="2135"/>
      <c r="F6" s="2135"/>
      <c r="G6" s="1467"/>
      <c r="H6" s="1468"/>
      <c r="I6" s="711">
        <f t="shared" si="0"/>
        <v>0</v>
      </c>
    </row>
    <row r="7" spans="1:9" ht="11.25" customHeight="1" x14ac:dyDescent="0.25">
      <c r="A7" s="128" t="s">
        <v>680</v>
      </c>
      <c r="B7" s="60"/>
      <c r="C7" s="2447"/>
      <c r="D7" s="2135"/>
      <c r="E7" s="2135"/>
      <c r="F7" s="2135"/>
      <c r="G7" s="1467"/>
      <c r="H7" s="1468"/>
      <c r="I7" s="711">
        <f t="shared" si="0"/>
        <v>0</v>
      </c>
    </row>
    <row r="8" spans="1:9" ht="11.25" customHeight="1" x14ac:dyDescent="0.25">
      <c r="A8" s="128" t="s">
        <v>265</v>
      </c>
      <c r="B8" s="60"/>
      <c r="C8" s="2447"/>
      <c r="D8" s="2135"/>
      <c r="E8" s="2135"/>
      <c r="F8" s="2135"/>
      <c r="G8" s="1467"/>
      <c r="H8" s="1468"/>
      <c r="I8" s="711">
        <f t="shared" si="0"/>
        <v>0</v>
      </c>
    </row>
    <row r="9" spans="1:9" ht="11.25" customHeight="1" x14ac:dyDescent="0.25">
      <c r="A9" s="128" t="s">
        <v>437</v>
      </c>
      <c r="B9" s="60"/>
      <c r="C9" s="2447"/>
      <c r="D9" s="2135"/>
      <c r="E9" s="2135"/>
      <c r="F9" s="2135"/>
      <c r="G9" s="1467"/>
      <c r="H9" s="1468"/>
      <c r="I9" s="711">
        <f t="shared" si="0"/>
        <v>0</v>
      </c>
    </row>
    <row r="10" spans="1:9" ht="11.25" customHeight="1" x14ac:dyDescent="0.25">
      <c r="A10" s="128" t="s">
        <v>438</v>
      </c>
      <c r="B10" s="60"/>
      <c r="C10" s="2447"/>
      <c r="D10" s="2135"/>
      <c r="E10" s="2135"/>
      <c r="F10" s="2135"/>
      <c r="G10" s="1467"/>
      <c r="H10" s="1468"/>
      <c r="I10" s="711">
        <f t="shared" si="0"/>
        <v>0</v>
      </c>
    </row>
    <row r="11" spans="1:9" ht="11.25" customHeight="1" x14ac:dyDescent="0.25">
      <c r="A11" s="670" t="str">
        <f>"Total "&amp;A4</f>
        <v>Total Councillors</v>
      </c>
      <c r="B11" s="671">
        <v>8</v>
      </c>
      <c r="C11" s="713">
        <f t="shared" ref="C11:I11" si="1">SUM(C5:C10)</f>
        <v>0</v>
      </c>
      <c r="D11" s="714">
        <f t="shared" si="1"/>
        <v>0</v>
      </c>
      <c r="E11" s="714">
        <f t="shared" si="1"/>
        <v>0</v>
      </c>
      <c r="F11" s="715">
        <f t="shared" si="1"/>
        <v>0</v>
      </c>
      <c r="G11" s="714"/>
      <c r="H11" s="719"/>
      <c r="I11" s="716">
        <f t="shared" si="1"/>
        <v>0</v>
      </c>
    </row>
    <row r="12" spans="1:9" x14ac:dyDescent="0.25">
      <c r="A12" s="151"/>
      <c r="B12" s="60"/>
      <c r="C12" s="709"/>
      <c r="D12" s="710"/>
      <c r="E12" s="269"/>
      <c r="F12" s="710"/>
      <c r="G12" s="269"/>
      <c r="H12" s="270"/>
      <c r="I12" s="711"/>
    </row>
    <row r="13" spans="1:9" ht="11.25" customHeight="1" x14ac:dyDescent="0.25">
      <c r="A13" s="127" t="s">
        <v>1250</v>
      </c>
      <c r="B13" s="60">
        <v>5</v>
      </c>
      <c r="C13" s="709"/>
      <c r="D13" s="710"/>
      <c r="E13" s="269"/>
      <c r="F13" s="710"/>
      <c r="G13" s="269"/>
      <c r="H13" s="270"/>
      <c r="I13" s="711"/>
    </row>
    <row r="14" spans="1:9" ht="11.25" customHeight="1" x14ac:dyDescent="0.25">
      <c r="A14" s="1032" t="s">
        <v>114</v>
      </c>
      <c r="B14" s="60"/>
      <c r="C14" s="2447"/>
      <c r="D14" s="2135">
        <v>869268</v>
      </c>
      <c r="E14" s="2135">
        <v>118641.59999999999</v>
      </c>
      <c r="F14" s="2135">
        <v>86140.735199999996</v>
      </c>
      <c r="G14" s="2135">
        <v>44940</v>
      </c>
      <c r="H14" s="1468"/>
      <c r="I14" s="711">
        <f t="shared" ref="I14:I19" si="2">SUM(D14:H14)</f>
        <v>1118990.3352000001</v>
      </c>
    </row>
    <row r="15" spans="1:9" ht="11.25" customHeight="1" x14ac:dyDescent="0.25">
      <c r="A15" s="1032" t="s">
        <v>115</v>
      </c>
      <c r="B15" s="60"/>
      <c r="C15" s="2447"/>
      <c r="D15" s="2135">
        <v>742444.76612400007</v>
      </c>
      <c r="E15" s="2135">
        <v>131346.32001984003</v>
      </c>
      <c r="F15" s="2135">
        <v>18020.939999999999</v>
      </c>
      <c r="G15" s="2135">
        <v>38628.284856000006</v>
      </c>
      <c r="H15" s="1468"/>
      <c r="I15" s="711">
        <f t="shared" si="2"/>
        <v>930440.31099984003</v>
      </c>
    </row>
    <row r="16" spans="1:9" ht="11.25" customHeight="1" x14ac:dyDescent="0.25">
      <c r="A16" s="2418" t="s">
        <v>2410</v>
      </c>
      <c r="B16" s="60"/>
      <c r="C16" s="2447"/>
      <c r="D16" s="2135">
        <v>783434.87396400003</v>
      </c>
      <c r="E16" s="2135">
        <v>119428.23201984003</v>
      </c>
      <c r="F16" s="2135">
        <v>146420.94</v>
      </c>
      <c r="G16" s="2135">
        <v>38628.284856000006</v>
      </c>
      <c r="H16" s="1468"/>
      <c r="I16" s="711">
        <f t="shared" si="2"/>
        <v>1087912.33083984</v>
      </c>
    </row>
    <row r="17" spans="1:9" ht="11.25" customHeight="1" x14ac:dyDescent="0.25">
      <c r="A17" s="2418" t="s">
        <v>2411</v>
      </c>
      <c r="B17" s="60"/>
      <c r="C17" s="2447"/>
      <c r="D17" s="2135">
        <v>663062.65253999992</v>
      </c>
      <c r="E17" s="2135">
        <v>138156.68624519999</v>
      </c>
      <c r="F17" s="2135">
        <v>18020.939999999999</v>
      </c>
      <c r="G17" s="2135">
        <v>38628.300000000003</v>
      </c>
      <c r="H17" s="1468"/>
      <c r="I17" s="711">
        <f t="shared" si="2"/>
        <v>857868.5787851999</v>
      </c>
    </row>
    <row r="18" spans="1:9" ht="11.25" customHeight="1" x14ac:dyDescent="0.25">
      <c r="A18" s="2418" t="s">
        <v>2412</v>
      </c>
      <c r="B18" s="60"/>
      <c r="C18" s="2447"/>
      <c r="D18" s="2135">
        <v>463539.55565999995</v>
      </c>
      <c r="E18" s="2135">
        <v>144242.84624519999</v>
      </c>
      <c r="F18" s="2135">
        <v>119055.4332</v>
      </c>
      <c r="G18" s="2135">
        <v>38628.296304999996</v>
      </c>
      <c r="H18" s="1468"/>
      <c r="I18" s="711">
        <f>SUM(D18:H18)</f>
        <v>765466.13141019992</v>
      </c>
    </row>
    <row r="19" spans="1:9" ht="11.25" customHeight="1" x14ac:dyDescent="0.25">
      <c r="A19" s="2418" t="s">
        <v>2429</v>
      </c>
      <c r="B19" s="60"/>
      <c r="C19" s="2447"/>
      <c r="D19" s="2135">
        <v>565344.97209000005</v>
      </c>
      <c r="E19" s="2135">
        <v>124375.89385980001</v>
      </c>
      <c r="F19" s="2135">
        <v>5740.5049208999999</v>
      </c>
      <c r="G19" s="2135">
        <v>47112.081007500004</v>
      </c>
      <c r="H19" s="1468"/>
      <c r="I19" s="711">
        <f t="shared" si="2"/>
        <v>742573.45187820005</v>
      </c>
    </row>
    <row r="20" spans="1:9" ht="5.0999999999999996" customHeight="1" x14ac:dyDescent="0.25">
      <c r="A20" s="151"/>
      <c r="B20" s="60"/>
      <c r="C20" s="1547"/>
      <c r="D20" s="1548"/>
      <c r="E20" s="1549"/>
      <c r="F20" s="1548"/>
      <c r="G20" s="1549"/>
      <c r="H20" s="1550"/>
      <c r="I20" s="711"/>
    </row>
    <row r="21" spans="1:9" ht="11.25" customHeight="1" x14ac:dyDescent="0.25">
      <c r="A21" s="831" t="s">
        <v>308</v>
      </c>
      <c r="B21" s="60"/>
      <c r="C21" s="709"/>
      <c r="D21" s="710"/>
      <c r="E21" s="269"/>
      <c r="F21" s="710"/>
      <c r="G21" s="269"/>
      <c r="H21" s="270"/>
      <c r="I21" s="711"/>
    </row>
    <row r="22" spans="1:9" ht="11.25" customHeight="1" x14ac:dyDescent="0.25">
      <c r="A22" s="2418"/>
      <c r="B22" s="60"/>
      <c r="C22" s="2447"/>
      <c r="D22" s="2135"/>
      <c r="E22" s="2135"/>
      <c r="F22" s="2135"/>
      <c r="G22" s="2135"/>
      <c r="H22" s="1468"/>
      <c r="I22" s="711">
        <f>SUM(D22:H22)</f>
        <v>0</v>
      </c>
    </row>
    <row r="23" spans="1:9" ht="11.25" customHeight="1" x14ac:dyDescent="0.25">
      <c r="A23" s="2418"/>
      <c r="B23" s="60"/>
      <c r="C23" s="2447"/>
      <c r="D23" s="2135"/>
      <c r="E23" s="2135"/>
      <c r="F23" s="2135"/>
      <c r="G23" s="2135"/>
      <c r="H23" s="1468"/>
      <c r="I23" s="711">
        <f t="shared" ref="I23:I32" si="3">SUM(D23:H23)</f>
        <v>0</v>
      </c>
    </row>
    <row r="24" spans="1:9" ht="11.25" customHeight="1" x14ac:dyDescent="0.25">
      <c r="A24" s="2418"/>
      <c r="B24" s="60"/>
      <c r="C24" s="2447"/>
      <c r="D24" s="2135"/>
      <c r="E24" s="2135"/>
      <c r="F24" s="2135"/>
      <c r="G24" s="2135"/>
      <c r="H24" s="1468"/>
      <c r="I24" s="711">
        <f t="shared" si="3"/>
        <v>0</v>
      </c>
    </row>
    <row r="25" spans="1:9" ht="11.25" customHeight="1" x14ac:dyDescent="0.25">
      <c r="A25" s="2418"/>
      <c r="B25" s="60"/>
      <c r="C25" s="2447"/>
      <c r="D25" s="2135"/>
      <c r="E25" s="2135"/>
      <c r="F25" s="2135"/>
      <c r="G25" s="2135"/>
      <c r="H25" s="1468"/>
      <c r="I25" s="711">
        <f t="shared" si="3"/>
        <v>0</v>
      </c>
    </row>
    <row r="26" spans="1:9" ht="11.25" customHeight="1" x14ac:dyDescent="0.25">
      <c r="A26" s="2418"/>
      <c r="B26" s="60"/>
      <c r="C26" s="2447"/>
      <c r="D26" s="2135"/>
      <c r="E26" s="2135"/>
      <c r="F26" s="2135"/>
      <c r="G26" s="2135"/>
      <c r="H26" s="1468"/>
      <c r="I26" s="711">
        <f t="shared" si="3"/>
        <v>0</v>
      </c>
    </row>
    <row r="27" spans="1:9" ht="11.25" customHeight="1" x14ac:dyDescent="0.25">
      <c r="A27" s="2418"/>
      <c r="B27" s="60"/>
      <c r="C27" s="2447"/>
      <c r="D27" s="2135"/>
      <c r="E27" s="2135"/>
      <c r="F27" s="2135"/>
      <c r="G27" s="2135"/>
      <c r="H27" s="1468"/>
      <c r="I27" s="711">
        <f t="shared" si="3"/>
        <v>0</v>
      </c>
    </row>
    <row r="28" spans="1:9" ht="11.25" customHeight="1" x14ac:dyDescent="0.25">
      <c r="A28" s="2418"/>
      <c r="B28" s="60"/>
      <c r="C28" s="2447"/>
      <c r="D28" s="2135"/>
      <c r="E28" s="2135"/>
      <c r="F28" s="2135"/>
      <c r="G28" s="2135"/>
      <c r="H28" s="1468"/>
      <c r="I28" s="711">
        <f t="shared" si="3"/>
        <v>0</v>
      </c>
    </row>
    <row r="29" spans="1:9" ht="11.25" customHeight="1" x14ac:dyDescent="0.25">
      <c r="A29" s="2418"/>
      <c r="B29" s="60"/>
      <c r="C29" s="2447"/>
      <c r="D29" s="2135"/>
      <c r="E29" s="2135"/>
      <c r="F29" s="2135"/>
      <c r="G29" s="2135"/>
      <c r="H29" s="1468"/>
      <c r="I29" s="711">
        <f t="shared" si="3"/>
        <v>0</v>
      </c>
    </row>
    <row r="30" spans="1:9" ht="11.25" customHeight="1" x14ac:dyDescent="0.25">
      <c r="A30" s="2418"/>
      <c r="B30" s="60"/>
      <c r="C30" s="2447"/>
      <c r="D30" s="2135"/>
      <c r="E30" s="2135"/>
      <c r="F30" s="2135"/>
      <c r="G30" s="2135"/>
      <c r="H30" s="1468"/>
      <c r="I30" s="711">
        <f t="shared" si="3"/>
        <v>0</v>
      </c>
    </row>
    <row r="31" spans="1:9" ht="11.25" customHeight="1" x14ac:dyDescent="0.25">
      <c r="A31" s="2418"/>
      <c r="B31" s="60"/>
      <c r="C31" s="2447"/>
      <c r="D31" s="2135"/>
      <c r="E31" s="2135"/>
      <c r="F31" s="2135"/>
      <c r="G31" s="2135"/>
      <c r="H31" s="1468"/>
      <c r="I31" s="711">
        <f t="shared" si="3"/>
        <v>0</v>
      </c>
    </row>
    <row r="32" spans="1:9" ht="11.25" customHeight="1" x14ac:dyDescent="0.25">
      <c r="A32" s="2418"/>
      <c r="B32" s="60"/>
      <c r="C32" s="2447"/>
      <c r="D32" s="2135"/>
      <c r="E32" s="2135"/>
      <c r="F32" s="2135"/>
      <c r="G32" s="2135"/>
      <c r="H32" s="1468"/>
      <c r="I32" s="711">
        <f t="shared" si="3"/>
        <v>0</v>
      </c>
    </row>
    <row r="33" spans="1:9" ht="11.25" customHeight="1" x14ac:dyDescent="0.25">
      <c r="A33" s="2131"/>
      <c r="B33" s="60"/>
      <c r="C33" s="2447"/>
      <c r="D33" s="2135"/>
      <c r="E33" s="2135"/>
      <c r="F33" s="2135"/>
      <c r="G33" s="2135"/>
      <c r="H33" s="1468"/>
      <c r="I33" s="711">
        <f>SUM(D33:H33)</f>
        <v>0</v>
      </c>
    </row>
    <row r="34" spans="1:9" ht="11.25" customHeight="1" x14ac:dyDescent="0.25">
      <c r="A34" s="2131"/>
      <c r="B34" s="60"/>
      <c r="C34" s="2447"/>
      <c r="D34" s="2135"/>
      <c r="E34" s="2135"/>
      <c r="F34" s="2135"/>
      <c r="G34" s="2135"/>
      <c r="H34" s="1468"/>
      <c r="I34" s="711">
        <f>SUM(D34:H34)</f>
        <v>0</v>
      </c>
    </row>
    <row r="35" spans="1:9" ht="11.25" customHeight="1" x14ac:dyDescent="0.25">
      <c r="A35" s="670" t="str">
        <f>"Total "&amp;A13</f>
        <v>Total Senior Managers of the Municipality</v>
      </c>
      <c r="B35" s="671" t="s">
        <v>2162</v>
      </c>
      <c r="C35" s="718">
        <f>SUM(C14:C34)</f>
        <v>0</v>
      </c>
      <c r="D35" s="715">
        <f>SUM(D14:D34)</f>
        <v>4087094.8203780008</v>
      </c>
      <c r="E35" s="714">
        <f>SUM(E14:E34)</f>
        <v>776191.57838988001</v>
      </c>
      <c r="F35" s="715">
        <f>SUM(F14:F34)</f>
        <v>393399.49332090002</v>
      </c>
      <c r="G35" s="714">
        <f>SUM(G14:G34)</f>
        <v>246565.24702450001</v>
      </c>
      <c r="H35" s="719"/>
      <c r="I35" s="716">
        <f>SUM(I14:I34)</f>
        <v>5503251.13911328</v>
      </c>
    </row>
    <row r="36" spans="1:9" x14ac:dyDescent="0.25">
      <c r="A36" s="151"/>
      <c r="B36" s="60"/>
      <c r="C36" s="709"/>
      <c r="D36" s="710"/>
      <c r="E36" s="269"/>
      <c r="F36" s="710"/>
      <c r="G36" s="269"/>
      <c r="H36" s="270"/>
      <c r="I36" s="711"/>
    </row>
    <row r="37" spans="1:9" ht="11.25" customHeight="1" x14ac:dyDescent="0.25">
      <c r="A37" s="127" t="s">
        <v>716</v>
      </c>
      <c r="B37" s="60" t="s">
        <v>2131</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18"/>
      <c r="B39" s="60"/>
      <c r="C39" s="2447"/>
      <c r="D39" s="2135"/>
      <c r="E39" s="2135"/>
      <c r="F39" s="2135"/>
      <c r="G39" s="2135"/>
      <c r="H39" s="1468"/>
      <c r="I39" s="720">
        <f>SUM(D39:G39)</f>
        <v>0</v>
      </c>
    </row>
    <row r="40" spans="1:9" ht="11.25" customHeight="1" x14ac:dyDescent="0.25">
      <c r="A40" s="2418"/>
      <c r="B40" s="60"/>
      <c r="C40" s="2447"/>
      <c r="D40" s="2135"/>
      <c r="E40" s="2135"/>
      <c r="F40" s="2135"/>
      <c r="G40" s="2135"/>
      <c r="H40" s="1468"/>
      <c r="I40" s="720">
        <f t="shared" ref="I40:I54" si="4">SUM(D40:G40)</f>
        <v>0</v>
      </c>
    </row>
    <row r="41" spans="1:9" ht="11.25" customHeight="1" x14ac:dyDescent="0.25">
      <c r="A41" s="2418"/>
      <c r="B41" s="60"/>
      <c r="C41" s="2447"/>
      <c r="D41" s="2135"/>
      <c r="E41" s="2135"/>
      <c r="F41" s="2135"/>
      <c r="G41" s="2135"/>
      <c r="H41" s="1468"/>
      <c r="I41" s="720">
        <f t="shared" si="4"/>
        <v>0</v>
      </c>
    </row>
    <row r="42" spans="1:9" ht="11.25" customHeight="1" x14ac:dyDescent="0.25">
      <c r="A42" s="2418"/>
      <c r="B42" s="60"/>
      <c r="C42" s="2447"/>
      <c r="D42" s="2135"/>
      <c r="E42" s="2135"/>
      <c r="F42" s="2135"/>
      <c r="G42" s="2135"/>
      <c r="H42" s="1468"/>
      <c r="I42" s="720">
        <f t="shared" si="4"/>
        <v>0</v>
      </c>
    </row>
    <row r="43" spans="1:9" ht="11.25" customHeight="1" x14ac:dyDescent="0.25">
      <c r="A43" s="2418"/>
      <c r="B43" s="60"/>
      <c r="C43" s="2447"/>
      <c r="D43" s="2135"/>
      <c r="E43" s="2135"/>
      <c r="F43" s="2135"/>
      <c r="G43" s="2135"/>
      <c r="H43" s="1468"/>
      <c r="I43" s="720">
        <f t="shared" si="4"/>
        <v>0</v>
      </c>
    </row>
    <row r="44" spans="1:9" ht="11.25" customHeight="1" x14ac:dyDescent="0.25">
      <c r="A44" s="2418"/>
      <c r="B44" s="60"/>
      <c r="C44" s="2447"/>
      <c r="D44" s="2135"/>
      <c r="E44" s="2135"/>
      <c r="F44" s="2135"/>
      <c r="G44" s="2135"/>
      <c r="H44" s="1468"/>
      <c r="I44" s="720">
        <f t="shared" si="4"/>
        <v>0</v>
      </c>
    </row>
    <row r="45" spans="1:9" ht="11.25" customHeight="1" x14ac:dyDescent="0.25">
      <c r="A45" s="2418"/>
      <c r="B45" s="60"/>
      <c r="C45" s="2447"/>
      <c r="D45" s="2135"/>
      <c r="E45" s="2135"/>
      <c r="F45" s="2135"/>
      <c r="G45" s="2135"/>
      <c r="H45" s="1468"/>
      <c r="I45" s="720">
        <f t="shared" si="4"/>
        <v>0</v>
      </c>
    </row>
    <row r="46" spans="1:9" ht="11.25" customHeight="1" x14ac:dyDescent="0.25">
      <c r="A46" s="2418"/>
      <c r="B46" s="60"/>
      <c r="C46" s="2447"/>
      <c r="D46" s="2135"/>
      <c r="E46" s="2135"/>
      <c r="F46" s="2135"/>
      <c r="G46" s="2135"/>
      <c r="H46" s="1468"/>
      <c r="I46" s="720">
        <f t="shared" si="4"/>
        <v>0</v>
      </c>
    </row>
    <row r="47" spans="1:9" ht="11.25" customHeight="1" x14ac:dyDescent="0.25">
      <c r="A47" s="2418"/>
      <c r="B47" s="60"/>
      <c r="C47" s="2447"/>
      <c r="D47" s="2135"/>
      <c r="E47" s="2135"/>
      <c r="F47" s="2135"/>
      <c r="G47" s="2135"/>
      <c r="H47" s="1468"/>
      <c r="I47" s="720">
        <f t="shared" si="4"/>
        <v>0</v>
      </c>
    </row>
    <row r="48" spans="1:9" ht="11.25" customHeight="1" x14ac:dyDescent="0.25">
      <c r="A48" s="2418"/>
      <c r="B48" s="60"/>
      <c r="C48" s="2447"/>
      <c r="D48" s="2135"/>
      <c r="E48" s="2135"/>
      <c r="F48" s="2135"/>
      <c r="G48" s="2135"/>
      <c r="H48" s="1468"/>
      <c r="I48" s="720">
        <f t="shared" si="4"/>
        <v>0</v>
      </c>
    </row>
    <row r="49" spans="1:15" ht="11.25" customHeight="1" x14ac:dyDescent="0.25">
      <c r="A49" s="2418"/>
      <c r="B49" s="60"/>
      <c r="C49" s="2447"/>
      <c r="D49" s="2135"/>
      <c r="E49" s="2135"/>
      <c r="F49" s="2135"/>
      <c r="G49" s="2135"/>
      <c r="H49" s="1468"/>
      <c r="I49" s="720">
        <f t="shared" si="4"/>
        <v>0</v>
      </c>
    </row>
    <row r="50" spans="1:15" ht="11.25" customHeight="1" x14ac:dyDescent="0.25">
      <c r="A50" s="2418"/>
      <c r="B50" s="60"/>
      <c r="C50" s="2447"/>
      <c r="D50" s="2135"/>
      <c r="E50" s="2135"/>
      <c r="F50" s="2135"/>
      <c r="G50" s="2135"/>
      <c r="H50" s="1468"/>
      <c r="I50" s="720">
        <f t="shared" si="4"/>
        <v>0</v>
      </c>
    </row>
    <row r="51" spans="1:15" ht="11.25" customHeight="1" x14ac:dyDescent="0.25">
      <c r="A51" s="2418"/>
      <c r="B51" s="60"/>
      <c r="C51" s="2447"/>
      <c r="D51" s="2135"/>
      <c r="E51" s="2135"/>
      <c r="F51" s="2135"/>
      <c r="G51" s="2135"/>
      <c r="H51" s="1468"/>
      <c r="I51" s="720">
        <f t="shared" si="4"/>
        <v>0</v>
      </c>
    </row>
    <row r="52" spans="1:15" ht="11.25" customHeight="1" x14ac:dyDescent="0.25">
      <c r="A52" s="2418"/>
      <c r="B52" s="60"/>
      <c r="C52" s="2447"/>
      <c r="D52" s="2135"/>
      <c r="E52" s="2135"/>
      <c r="F52" s="2135"/>
      <c r="G52" s="2135"/>
      <c r="H52" s="1468"/>
      <c r="I52" s="720">
        <f t="shared" si="4"/>
        <v>0</v>
      </c>
    </row>
    <row r="53" spans="1:15" ht="11.25" customHeight="1" x14ac:dyDescent="0.25">
      <c r="A53" s="2418"/>
      <c r="B53" s="60"/>
      <c r="C53" s="2447"/>
      <c r="D53" s="2135"/>
      <c r="E53" s="2135"/>
      <c r="F53" s="2135"/>
      <c r="G53" s="2135"/>
      <c r="H53" s="1468"/>
      <c r="I53" s="720">
        <f t="shared" si="4"/>
        <v>0</v>
      </c>
    </row>
    <row r="54" spans="1:15" ht="11.25" customHeight="1" x14ac:dyDescent="0.25">
      <c r="A54" s="2418"/>
      <c r="B54" s="60"/>
      <c r="C54" s="2447"/>
      <c r="D54" s="2135"/>
      <c r="E54" s="2135"/>
      <c r="F54" s="2135"/>
      <c r="G54" s="2135"/>
      <c r="H54" s="1468"/>
      <c r="I54" s="720">
        <f t="shared" si="4"/>
        <v>0</v>
      </c>
    </row>
    <row r="55" spans="1:15" ht="11.25" customHeight="1" x14ac:dyDescent="0.25">
      <c r="A55" s="670" t="s">
        <v>309</v>
      </c>
      <c r="B55" s="671" t="s">
        <v>2162</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0</v>
      </c>
      <c r="D57" s="724">
        <f t="shared" si="6"/>
        <v>4087094.8203780008</v>
      </c>
      <c r="E57" s="724">
        <f t="shared" si="6"/>
        <v>776191.57838988001</v>
      </c>
      <c r="F57" s="724">
        <f t="shared" si="6"/>
        <v>393399.49332090002</v>
      </c>
      <c r="G57" s="724">
        <f t="shared" si="6"/>
        <v>246565.24702450001</v>
      </c>
      <c r="H57" s="725"/>
      <c r="I57" s="726">
        <f t="shared" si="6"/>
        <v>5503251.13911328</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41" t="s">
        <v>922</v>
      </c>
      <c r="B60" s="1942"/>
      <c r="C60" s="1942"/>
    </row>
    <row r="61" spans="1:15" s="586" customFormat="1" x14ac:dyDescent="0.25">
      <c r="A61" s="1271" t="s">
        <v>2132</v>
      </c>
      <c r="B61" s="907"/>
      <c r="C61" s="907"/>
      <c r="O61" s="946"/>
    </row>
    <row r="62" spans="1:15" s="586" customFormat="1" x14ac:dyDescent="0.25">
      <c r="A62" s="1271" t="s">
        <v>2133</v>
      </c>
      <c r="B62" s="907"/>
      <c r="C62" s="907"/>
    </row>
    <row r="63" spans="1:15" s="586" customFormat="1" x14ac:dyDescent="0.25">
      <c r="A63" s="1271" t="s">
        <v>2134</v>
      </c>
      <c r="B63" s="907"/>
      <c r="C63" s="907"/>
    </row>
    <row r="64" spans="1:15" s="586" customFormat="1" x14ac:dyDescent="0.25">
      <c r="A64" s="1271" t="s">
        <v>436</v>
      </c>
      <c r="B64" s="907"/>
      <c r="C64" s="907"/>
    </row>
    <row r="65" spans="1:3" s="586" customFormat="1" x14ac:dyDescent="0.25">
      <c r="A65" s="1271" t="s">
        <v>2135</v>
      </c>
      <c r="B65" s="907"/>
      <c r="C65" s="907"/>
    </row>
    <row r="66" spans="1:3" s="586" customFormat="1" x14ac:dyDescent="0.25">
      <c r="A66" s="1271" t="s">
        <v>2136</v>
      </c>
      <c r="B66" s="907"/>
      <c r="C66" s="907"/>
    </row>
    <row r="67" spans="1:3" s="586" customFormat="1" x14ac:dyDescent="0.25">
      <c r="A67" s="1271" t="s">
        <v>2137</v>
      </c>
      <c r="B67" s="907"/>
      <c r="C67" s="907"/>
    </row>
    <row r="68" spans="1:3" s="586" customFormat="1" x14ac:dyDescent="0.25">
      <c r="A68" s="1271" t="s">
        <v>2138</v>
      </c>
      <c r="B68" s="907"/>
      <c r="C68" s="907"/>
    </row>
    <row r="69" spans="1:3" s="586" customFormat="1" x14ac:dyDescent="0.25">
      <c r="A69" s="1271" t="s">
        <v>2139</v>
      </c>
      <c r="B69" s="907"/>
      <c r="C69" s="907"/>
    </row>
    <row r="70" spans="1:3" s="586" customFormat="1" x14ac:dyDescent="0.25">
      <c r="A70" s="1271" t="s">
        <v>2161</v>
      </c>
      <c r="B70" s="907"/>
      <c r="C70" s="907"/>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39:H54 D22:H34 E14:H19 D14:D15 D17:D19">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22" activePane="bottomLeft" state="frozen"/>
      <selection pane="bottomLeft" activeCell="M33" sqref="M33"/>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LIM471 Ephraim Mogale - Supporting Table SA24 Summary of personnel numbers</v>
      </c>
      <c r="B1" s="25"/>
      <c r="C1" s="25"/>
      <c r="D1" s="25"/>
      <c r="E1" s="25"/>
      <c r="F1" s="25"/>
      <c r="G1" s="25"/>
      <c r="H1" s="25"/>
      <c r="I1" s="25"/>
      <c r="J1" s="25"/>
      <c r="K1" s="25"/>
    </row>
    <row r="2" spans="1:12" ht="28.5" customHeight="1" x14ac:dyDescent="0.25">
      <c r="A2" s="858" t="s">
        <v>640</v>
      </c>
      <c r="B2" s="296" t="str">
        <f>head27</f>
        <v>Ref</v>
      </c>
      <c r="C2" s="2729" t="str">
        <f>Head1</f>
        <v>2014/15</v>
      </c>
      <c r="D2" s="2730"/>
      <c r="E2" s="2731"/>
      <c r="F2" s="2653" t="str">
        <f>Head2</f>
        <v>Current Year 2015/16</v>
      </c>
      <c r="G2" s="2654"/>
      <c r="H2" s="2654"/>
      <c r="I2" s="2650" t="str">
        <f>Head9</f>
        <v>Budget Year 2016/17</v>
      </c>
      <c r="J2" s="2651"/>
      <c r="K2" s="2652"/>
      <c r="L2" s="247"/>
    </row>
    <row r="3" spans="1:12" ht="25.5" x14ac:dyDescent="0.25">
      <c r="A3" s="58" t="s">
        <v>1602</v>
      </c>
      <c r="B3" s="859" t="s">
        <v>1848</v>
      </c>
      <c r="C3" s="267" t="s">
        <v>422</v>
      </c>
      <c r="D3" s="871" t="s">
        <v>904</v>
      </c>
      <c r="E3" s="268" t="s">
        <v>423</v>
      </c>
      <c r="F3" s="267" t="s">
        <v>422</v>
      </c>
      <c r="G3" s="871" t="s">
        <v>904</v>
      </c>
      <c r="H3" s="268" t="s">
        <v>423</v>
      </c>
      <c r="I3" s="267" t="s">
        <v>422</v>
      </c>
      <c r="J3" s="871" t="s">
        <v>904</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865</v>
      </c>
      <c r="B5" s="60"/>
      <c r="C5" s="2135">
        <v>32</v>
      </c>
      <c r="D5" s="2135"/>
      <c r="E5" s="2136">
        <v>32</v>
      </c>
      <c r="F5" s="2134">
        <v>32</v>
      </c>
      <c r="G5" s="2135"/>
      <c r="H5" s="2393">
        <v>32</v>
      </c>
      <c r="I5" s="2393">
        <v>32</v>
      </c>
      <c r="J5" s="2393">
        <v>32</v>
      </c>
      <c r="K5" s="2393">
        <v>32</v>
      </c>
      <c r="L5" s="247"/>
    </row>
    <row r="6" spans="1:12" ht="11.25" customHeight="1" x14ac:dyDescent="0.25">
      <c r="A6" s="132" t="s">
        <v>1355</v>
      </c>
      <c r="B6" s="60">
        <v>4</v>
      </c>
      <c r="C6" s="2135"/>
      <c r="D6" s="2135"/>
      <c r="E6" s="2136"/>
      <c r="F6" s="2134"/>
      <c r="G6" s="2135"/>
      <c r="H6" s="2393"/>
      <c r="I6" s="2137"/>
      <c r="J6" s="2135"/>
      <c r="K6" s="2136"/>
      <c r="L6" s="247"/>
    </row>
    <row r="7" spans="1:12" ht="11.25" customHeight="1" x14ac:dyDescent="0.25">
      <c r="A7" s="527" t="s">
        <v>1356</v>
      </c>
      <c r="B7" s="60">
        <v>5</v>
      </c>
      <c r="C7" s="2135"/>
      <c r="D7" s="2135"/>
      <c r="E7" s="2136"/>
      <c r="F7" s="2134"/>
      <c r="G7" s="2135"/>
      <c r="H7" s="2393"/>
      <c r="I7" s="2137"/>
      <c r="J7" s="2135"/>
      <c r="K7" s="2136"/>
      <c r="L7" s="247"/>
    </row>
    <row r="8" spans="1:12" ht="11.25" customHeight="1" x14ac:dyDescent="0.25">
      <c r="A8" s="132" t="s">
        <v>1357</v>
      </c>
      <c r="B8" s="60">
        <v>3</v>
      </c>
      <c r="C8" s="2135">
        <v>6</v>
      </c>
      <c r="D8" s="2135"/>
      <c r="E8" s="2136">
        <v>6</v>
      </c>
      <c r="F8" s="2134">
        <v>4</v>
      </c>
      <c r="G8" s="2135"/>
      <c r="H8" s="2393">
        <v>4</v>
      </c>
      <c r="I8" s="2137">
        <v>6</v>
      </c>
      <c r="J8" s="2135"/>
      <c r="K8" s="2136">
        <v>6</v>
      </c>
      <c r="L8" s="247"/>
    </row>
    <row r="9" spans="1:12" ht="11.25" customHeight="1" x14ac:dyDescent="0.25">
      <c r="A9" s="132" t="s">
        <v>536</v>
      </c>
      <c r="B9" s="60">
        <v>7</v>
      </c>
      <c r="C9" s="2135">
        <v>9</v>
      </c>
      <c r="D9" s="2135">
        <v>9</v>
      </c>
      <c r="E9" s="2136">
        <v>0</v>
      </c>
      <c r="F9" s="2134">
        <v>9</v>
      </c>
      <c r="G9" s="2135">
        <v>9</v>
      </c>
      <c r="H9" s="2393"/>
      <c r="I9" s="2137">
        <v>12</v>
      </c>
      <c r="J9" s="2135">
        <v>12</v>
      </c>
      <c r="K9" s="2136"/>
      <c r="L9" s="247"/>
    </row>
    <row r="10" spans="1:12" ht="11.25" customHeight="1" x14ac:dyDescent="0.25">
      <c r="A10" s="132" t="s">
        <v>1358</v>
      </c>
      <c r="B10" s="60"/>
      <c r="C10" s="1033">
        <f>SUM(C11:C19)</f>
        <v>5</v>
      </c>
      <c r="D10" s="1033">
        <f t="shared" ref="D10:K10" si="0">SUM(D11:D19)</f>
        <v>2</v>
      </c>
      <c r="E10" s="1034">
        <f t="shared" si="0"/>
        <v>1</v>
      </c>
      <c r="F10" s="1035">
        <f t="shared" si="0"/>
        <v>7</v>
      </c>
      <c r="G10" s="1033">
        <f t="shared" si="0"/>
        <v>6</v>
      </c>
      <c r="H10" s="1036">
        <f t="shared" si="0"/>
        <v>1</v>
      </c>
      <c r="I10" s="1037">
        <f t="shared" si="0"/>
        <v>0</v>
      </c>
      <c r="J10" s="1033">
        <f t="shared" si="0"/>
        <v>0</v>
      </c>
      <c r="K10" s="1034">
        <f t="shared" si="0"/>
        <v>0</v>
      </c>
      <c r="L10" s="247"/>
    </row>
    <row r="11" spans="1:12" ht="11.25" customHeight="1" x14ac:dyDescent="0.25">
      <c r="A11" s="1324" t="s">
        <v>1725</v>
      </c>
      <c r="B11" s="60"/>
      <c r="C11" s="2135">
        <v>3</v>
      </c>
      <c r="D11" s="2135">
        <v>0</v>
      </c>
      <c r="E11" s="2136">
        <v>1</v>
      </c>
      <c r="F11" s="2134">
        <v>3</v>
      </c>
      <c r="G11" s="2135">
        <v>2</v>
      </c>
      <c r="H11" s="2393">
        <v>1</v>
      </c>
      <c r="I11" s="2137"/>
      <c r="J11" s="2135"/>
      <c r="K11" s="2136"/>
      <c r="L11" s="247"/>
    </row>
    <row r="12" spans="1:12" ht="11.25" customHeight="1" x14ac:dyDescent="0.25">
      <c r="A12" s="1324" t="s">
        <v>1359</v>
      </c>
      <c r="B12" s="60"/>
      <c r="C12" s="2135">
        <v>1</v>
      </c>
      <c r="D12" s="2135">
        <v>1</v>
      </c>
      <c r="E12" s="2136"/>
      <c r="F12" s="2134">
        <v>3</v>
      </c>
      <c r="G12" s="2135">
        <v>3</v>
      </c>
      <c r="H12" s="2393"/>
      <c r="I12" s="2137"/>
      <c r="J12" s="2135"/>
      <c r="K12" s="2136"/>
      <c r="L12" s="247"/>
    </row>
    <row r="13" spans="1:12" ht="11.25" customHeight="1" x14ac:dyDescent="0.25">
      <c r="A13" s="1324" t="s">
        <v>321</v>
      </c>
      <c r="B13" s="60"/>
      <c r="C13" s="2135"/>
      <c r="D13" s="2135"/>
      <c r="E13" s="2136"/>
      <c r="F13" s="2134"/>
      <c r="G13" s="2135"/>
      <c r="H13" s="2393"/>
      <c r="I13" s="2137"/>
      <c r="J13" s="2135"/>
      <c r="K13" s="2136"/>
      <c r="L13" s="247"/>
    </row>
    <row r="14" spans="1:12" ht="11.25" customHeight="1" x14ac:dyDescent="0.25">
      <c r="A14" s="1324" t="s">
        <v>693</v>
      </c>
      <c r="B14" s="60"/>
      <c r="C14" s="2135"/>
      <c r="D14" s="2135"/>
      <c r="E14" s="2136"/>
      <c r="F14" s="2134"/>
      <c r="G14" s="2135"/>
      <c r="H14" s="2393"/>
      <c r="I14" s="2137"/>
      <c r="J14" s="2135"/>
      <c r="K14" s="2136"/>
      <c r="L14" s="247"/>
    </row>
    <row r="15" spans="1:12" ht="11.25" customHeight="1" x14ac:dyDescent="0.25">
      <c r="A15" s="1324" t="s">
        <v>612</v>
      </c>
      <c r="B15" s="60"/>
      <c r="C15" s="2135">
        <v>1</v>
      </c>
      <c r="D15" s="2135">
        <v>1</v>
      </c>
      <c r="E15" s="2136">
        <v>0</v>
      </c>
      <c r="F15" s="2134">
        <v>1</v>
      </c>
      <c r="G15" s="2135">
        <v>1</v>
      </c>
      <c r="H15" s="2393">
        <v>0</v>
      </c>
      <c r="I15" s="2137"/>
      <c r="J15" s="2135"/>
      <c r="K15" s="2136"/>
      <c r="L15" s="247"/>
    </row>
    <row r="16" spans="1:12" ht="11.25" customHeight="1" x14ac:dyDescent="0.25">
      <c r="A16" s="1324" t="s">
        <v>908</v>
      </c>
      <c r="B16" s="60"/>
      <c r="C16" s="2135"/>
      <c r="D16" s="2135"/>
      <c r="E16" s="2136"/>
      <c r="F16" s="2134"/>
      <c r="G16" s="2135"/>
      <c r="H16" s="2393"/>
      <c r="I16" s="2137"/>
      <c r="J16" s="2135"/>
      <c r="K16" s="2136"/>
      <c r="L16" s="247"/>
    </row>
    <row r="17" spans="1:12" ht="11.25" customHeight="1" x14ac:dyDescent="0.25">
      <c r="A17" s="1324" t="s">
        <v>909</v>
      </c>
      <c r="B17" s="60"/>
      <c r="C17" s="2135"/>
      <c r="D17" s="2135"/>
      <c r="E17" s="2136"/>
      <c r="F17" s="2134"/>
      <c r="G17" s="2135"/>
      <c r="H17" s="2393"/>
      <c r="I17" s="2137"/>
      <c r="J17" s="2135"/>
      <c r="K17" s="2136"/>
      <c r="L17" s="247"/>
    </row>
    <row r="18" spans="1:12" ht="11.25" customHeight="1" x14ac:dyDescent="0.25">
      <c r="A18" s="1324" t="s">
        <v>1238</v>
      </c>
      <c r="B18" s="60"/>
      <c r="C18" s="2135"/>
      <c r="D18" s="2135"/>
      <c r="E18" s="2136"/>
      <c r="F18" s="2134"/>
      <c r="G18" s="2135"/>
      <c r="H18" s="2393"/>
      <c r="I18" s="2137"/>
      <c r="J18" s="2135"/>
      <c r="K18" s="2136"/>
      <c r="L18" s="247"/>
    </row>
    <row r="19" spans="1:12" ht="11.25" customHeight="1" x14ac:dyDescent="0.25">
      <c r="A19" s="1324" t="s">
        <v>276</v>
      </c>
      <c r="B19" s="60"/>
      <c r="C19" s="2135"/>
      <c r="D19" s="2135"/>
      <c r="E19" s="2136"/>
      <c r="F19" s="2134"/>
      <c r="G19" s="2135"/>
      <c r="H19" s="2393"/>
      <c r="I19" s="2137"/>
      <c r="J19" s="2135"/>
      <c r="K19" s="2136"/>
      <c r="L19" s="247"/>
    </row>
    <row r="20" spans="1:12" ht="11.25" customHeight="1" x14ac:dyDescent="0.25">
      <c r="A20" s="132" t="s">
        <v>1360</v>
      </c>
      <c r="B20" s="60"/>
      <c r="C20" s="1033">
        <f>SUM(C21:C29)</f>
        <v>203</v>
      </c>
      <c r="D20" s="1033">
        <f t="shared" ref="D20:K20" si="1">SUM(D21:D29)</f>
        <v>203</v>
      </c>
      <c r="E20" s="1034">
        <f t="shared" si="1"/>
        <v>0</v>
      </c>
      <c r="F20" s="1035">
        <f t="shared" si="1"/>
        <v>214</v>
      </c>
      <c r="G20" s="1033">
        <f t="shared" si="1"/>
        <v>214</v>
      </c>
      <c r="H20" s="1036">
        <f t="shared" si="1"/>
        <v>0</v>
      </c>
      <c r="I20" s="1037">
        <f t="shared" si="1"/>
        <v>257</v>
      </c>
      <c r="J20" s="1033">
        <f t="shared" si="1"/>
        <v>217</v>
      </c>
      <c r="K20" s="1034">
        <f t="shared" si="1"/>
        <v>8</v>
      </c>
      <c r="L20" s="247"/>
    </row>
    <row r="21" spans="1:12" ht="11.25" customHeight="1" x14ac:dyDescent="0.25">
      <c r="A21" s="1324" t="s">
        <v>1725</v>
      </c>
      <c r="B21" s="60"/>
      <c r="C21" s="2135">
        <v>21</v>
      </c>
      <c r="D21" s="2135">
        <v>21</v>
      </c>
      <c r="E21" s="2136"/>
      <c r="F21" s="2134">
        <v>28</v>
      </c>
      <c r="G21" s="2135">
        <v>28</v>
      </c>
      <c r="H21" s="2393"/>
      <c r="I21" s="2137">
        <v>38</v>
      </c>
      <c r="J21" s="2135">
        <v>32</v>
      </c>
      <c r="K21" s="2136">
        <v>6</v>
      </c>
      <c r="L21" s="247"/>
    </row>
    <row r="22" spans="1:12" ht="11.25" customHeight="1" x14ac:dyDescent="0.25">
      <c r="A22" s="1324" t="s">
        <v>1359</v>
      </c>
      <c r="B22" s="60"/>
      <c r="C22" s="2135">
        <v>3</v>
      </c>
      <c r="D22" s="2135">
        <v>3</v>
      </c>
      <c r="E22" s="2136"/>
      <c r="F22" s="2134"/>
      <c r="G22" s="2135"/>
      <c r="H22" s="2393"/>
      <c r="I22" s="2137">
        <v>2</v>
      </c>
      <c r="J22" s="2135"/>
      <c r="K22" s="2136">
        <v>2</v>
      </c>
      <c r="L22" s="247"/>
    </row>
    <row r="23" spans="1:12" ht="11.25" customHeight="1" x14ac:dyDescent="0.25">
      <c r="A23" s="1324" t="s">
        <v>321</v>
      </c>
      <c r="B23" s="60"/>
      <c r="C23" s="2135">
        <v>1</v>
      </c>
      <c r="D23" s="2135">
        <v>1</v>
      </c>
      <c r="E23" s="2136"/>
      <c r="F23" s="2134">
        <v>1</v>
      </c>
      <c r="G23" s="2135">
        <v>1</v>
      </c>
      <c r="H23" s="2393"/>
      <c r="I23" s="2137">
        <v>3</v>
      </c>
      <c r="J23" s="2135">
        <v>3</v>
      </c>
      <c r="K23" s="2136"/>
      <c r="L23" s="247"/>
    </row>
    <row r="24" spans="1:12" ht="11.25" customHeight="1" x14ac:dyDescent="0.25">
      <c r="A24" s="1324" t="s">
        <v>693</v>
      </c>
      <c r="B24" s="60"/>
      <c r="C24" s="2135">
        <v>26</v>
      </c>
      <c r="D24" s="2135">
        <v>26</v>
      </c>
      <c r="E24" s="2136"/>
      <c r="F24" s="2134">
        <v>35</v>
      </c>
      <c r="G24" s="2135">
        <v>35</v>
      </c>
      <c r="H24" s="2393"/>
      <c r="I24" s="2137">
        <v>49</v>
      </c>
      <c r="J24" s="2135">
        <v>49</v>
      </c>
      <c r="K24" s="2136"/>
      <c r="L24" s="247"/>
    </row>
    <row r="25" spans="1:12" ht="11.25" customHeight="1" x14ac:dyDescent="0.25">
      <c r="A25" s="1324" t="s">
        <v>612</v>
      </c>
      <c r="B25" s="60"/>
      <c r="C25" s="2135">
        <v>6</v>
      </c>
      <c r="D25" s="2135">
        <v>6</v>
      </c>
      <c r="E25" s="2136"/>
      <c r="F25" s="2134">
        <v>11</v>
      </c>
      <c r="G25" s="2135">
        <v>11</v>
      </c>
      <c r="H25" s="2393"/>
      <c r="I25" s="2137">
        <v>11</v>
      </c>
      <c r="J25" s="2135">
        <v>11</v>
      </c>
      <c r="K25" s="2136"/>
      <c r="L25" s="247"/>
    </row>
    <row r="26" spans="1:12" ht="11.25" customHeight="1" x14ac:dyDescent="0.25">
      <c r="A26" s="1324" t="s">
        <v>908</v>
      </c>
      <c r="B26" s="60"/>
      <c r="C26" s="2135">
        <v>0</v>
      </c>
      <c r="D26" s="2135">
        <v>0</v>
      </c>
      <c r="E26" s="2136">
        <v>0</v>
      </c>
      <c r="F26" s="2134">
        <v>0</v>
      </c>
      <c r="G26" s="2135">
        <v>0</v>
      </c>
      <c r="H26" s="2393">
        <v>0</v>
      </c>
      <c r="I26" s="2137"/>
      <c r="J26" s="2135"/>
      <c r="K26" s="2136"/>
      <c r="L26" s="247"/>
    </row>
    <row r="27" spans="1:12" ht="11.25" customHeight="1" x14ac:dyDescent="0.25">
      <c r="A27" s="1324" t="s">
        <v>909</v>
      </c>
      <c r="B27" s="60"/>
      <c r="C27" s="2135">
        <v>26</v>
      </c>
      <c r="D27" s="2135">
        <v>26</v>
      </c>
      <c r="E27" s="2136"/>
      <c r="F27" s="2134"/>
      <c r="G27" s="2135"/>
      <c r="H27" s="2393"/>
      <c r="I27" s="2137"/>
      <c r="J27" s="2135"/>
      <c r="K27" s="2136"/>
      <c r="L27" s="247"/>
    </row>
    <row r="28" spans="1:12" ht="11.25" customHeight="1" x14ac:dyDescent="0.25">
      <c r="A28" s="1324" t="s">
        <v>1238</v>
      </c>
      <c r="B28" s="60"/>
      <c r="C28" s="2135">
        <v>49</v>
      </c>
      <c r="D28" s="2135">
        <v>49</v>
      </c>
      <c r="E28" s="2136"/>
      <c r="F28" s="2134">
        <v>56</v>
      </c>
      <c r="G28" s="2135">
        <v>56</v>
      </c>
      <c r="H28" s="2393"/>
      <c r="I28" s="2137">
        <v>28</v>
      </c>
      <c r="J28" s="2135">
        <v>28</v>
      </c>
      <c r="K28" s="2136"/>
      <c r="L28" s="247"/>
    </row>
    <row r="29" spans="1:12" ht="11.25" customHeight="1" x14ac:dyDescent="0.25">
      <c r="A29" s="1324" t="s">
        <v>276</v>
      </c>
      <c r="B29" s="60"/>
      <c r="C29" s="2135">
        <v>71</v>
      </c>
      <c r="D29" s="2135">
        <v>71</v>
      </c>
      <c r="E29" s="2136"/>
      <c r="F29" s="2134">
        <v>83</v>
      </c>
      <c r="G29" s="2135">
        <v>83</v>
      </c>
      <c r="H29" s="2393"/>
      <c r="I29" s="2137">
        <v>126</v>
      </c>
      <c r="J29" s="2135">
        <v>94</v>
      </c>
      <c r="K29" s="2136"/>
      <c r="L29" s="247"/>
    </row>
    <row r="30" spans="1:12" ht="11.25" customHeight="1" x14ac:dyDescent="0.25">
      <c r="A30" s="132" t="s">
        <v>1361</v>
      </c>
      <c r="B30" s="60"/>
      <c r="C30" s="2135"/>
      <c r="D30" s="2135"/>
      <c r="E30" s="2136"/>
      <c r="F30" s="2134"/>
      <c r="G30" s="2135"/>
      <c r="H30" s="2393"/>
      <c r="I30" s="2137"/>
      <c r="J30" s="2135"/>
      <c r="K30" s="2136"/>
      <c r="L30" s="247"/>
    </row>
    <row r="31" spans="1:12" ht="11.25" customHeight="1" x14ac:dyDescent="0.25">
      <c r="A31" s="132" t="s">
        <v>1362</v>
      </c>
      <c r="B31" s="60"/>
      <c r="C31" s="2135"/>
      <c r="D31" s="2135"/>
      <c r="E31" s="2136"/>
      <c r="F31" s="2134"/>
      <c r="G31" s="2135"/>
      <c r="H31" s="2393"/>
      <c r="I31" s="2137"/>
      <c r="J31" s="2135"/>
      <c r="K31" s="2136"/>
      <c r="L31" s="247"/>
    </row>
    <row r="32" spans="1:12" ht="11.25" customHeight="1" x14ac:dyDescent="0.25">
      <c r="A32" s="132" t="s">
        <v>767</v>
      </c>
      <c r="B32" s="60"/>
      <c r="C32" s="2135"/>
      <c r="D32" s="2135"/>
      <c r="E32" s="2136"/>
      <c r="F32" s="2134"/>
      <c r="G32" s="2135"/>
      <c r="H32" s="2393"/>
      <c r="I32" s="2137"/>
      <c r="J32" s="2135"/>
      <c r="K32" s="2136"/>
      <c r="L32" s="247"/>
    </row>
    <row r="33" spans="1:15" ht="11.25" customHeight="1" x14ac:dyDescent="0.25">
      <c r="A33" s="132" t="s">
        <v>1363</v>
      </c>
      <c r="B33" s="60"/>
      <c r="C33" s="2135"/>
      <c r="D33" s="2135"/>
      <c r="E33" s="2136"/>
      <c r="F33" s="2134"/>
      <c r="G33" s="2135"/>
      <c r="H33" s="2393"/>
      <c r="I33" s="2137"/>
      <c r="J33" s="2135"/>
      <c r="K33" s="2136"/>
      <c r="L33" s="247"/>
    </row>
    <row r="34" spans="1:15" ht="11.25" customHeight="1" x14ac:dyDescent="0.25">
      <c r="A34" s="132" t="s">
        <v>1364</v>
      </c>
      <c r="B34" s="60"/>
      <c r="C34" s="2135"/>
      <c r="D34" s="2135"/>
      <c r="E34" s="2136"/>
      <c r="F34" s="2134"/>
      <c r="G34" s="2135"/>
      <c r="H34" s="2393"/>
      <c r="I34" s="2137"/>
      <c r="J34" s="2135"/>
      <c r="K34" s="2136"/>
      <c r="L34" s="247"/>
    </row>
    <row r="35" spans="1:15" ht="11.25" customHeight="1" x14ac:dyDescent="0.25">
      <c r="A35" s="132" t="s">
        <v>1365</v>
      </c>
      <c r="B35" s="60"/>
      <c r="C35" s="2135"/>
      <c r="D35" s="2135"/>
      <c r="E35" s="2136"/>
      <c r="F35" s="2134"/>
      <c r="G35" s="2135"/>
      <c r="H35" s="2393"/>
      <c r="I35" s="2137"/>
      <c r="J35" s="2135"/>
      <c r="K35" s="2136"/>
      <c r="L35" s="247"/>
    </row>
    <row r="36" spans="1:15" ht="11.25" customHeight="1" x14ac:dyDescent="0.25">
      <c r="A36" s="691" t="s">
        <v>638</v>
      </c>
      <c r="B36" s="60">
        <v>9</v>
      </c>
      <c r="C36" s="732">
        <f>SUM(C5:C9)+SUM(C11:C19)+SUM(C21:C35)</f>
        <v>255</v>
      </c>
      <c r="D36" s="732">
        <f t="shared" ref="D36:K36" si="2">SUM(D5:D9)+SUM(D11:D19)+SUM(D21:D35)</f>
        <v>214</v>
      </c>
      <c r="E36" s="1161">
        <f t="shared" si="2"/>
        <v>39</v>
      </c>
      <c r="F36" s="1162">
        <f t="shared" si="2"/>
        <v>266</v>
      </c>
      <c r="G36" s="732">
        <f t="shared" si="2"/>
        <v>229</v>
      </c>
      <c r="H36" s="733">
        <f>SUM(H5:H9)+SUM(H11:H19)+SUM(H21:H35)</f>
        <v>37</v>
      </c>
      <c r="I36" s="1163">
        <f t="shared" si="2"/>
        <v>307</v>
      </c>
      <c r="J36" s="732">
        <f t="shared" si="2"/>
        <v>261</v>
      </c>
      <c r="K36" s="733">
        <f t="shared" si="2"/>
        <v>46</v>
      </c>
      <c r="L36" s="247"/>
    </row>
    <row r="37" spans="1:15" ht="11.25" customHeight="1" x14ac:dyDescent="0.25">
      <c r="A37" s="844" t="s">
        <v>880</v>
      </c>
      <c r="B37" s="60"/>
      <c r="C37" s="730"/>
      <c r="D37" s="1164"/>
      <c r="E37" s="1165"/>
      <c r="F37" s="1166">
        <f t="shared" ref="F37:K37" si="3">IF(ISERROR((F36/C36)-1),0,((F36/C36)-1))</f>
        <v>4.3137254901960853E-2</v>
      </c>
      <c r="G37" s="1167">
        <f t="shared" si="3"/>
        <v>7.0093457943925186E-2</v>
      </c>
      <c r="H37" s="1168">
        <f t="shared" si="3"/>
        <v>-5.1282051282051322E-2</v>
      </c>
      <c r="I37" s="1169">
        <f t="shared" si="3"/>
        <v>0.15413533834586457</v>
      </c>
      <c r="J37" s="1167">
        <f t="shared" si="3"/>
        <v>0.13973799126637565</v>
      </c>
      <c r="K37" s="1170">
        <f t="shared" si="3"/>
        <v>0.2432432432432432</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1366</v>
      </c>
      <c r="B39" s="60" t="s">
        <v>2175</v>
      </c>
      <c r="C39" s="2448"/>
      <c r="D39" s="2449"/>
      <c r="E39" s="2450"/>
      <c r="F39" s="2451"/>
      <c r="G39" s="2452"/>
      <c r="H39" s="2453"/>
      <c r="I39" s="2454"/>
      <c r="J39" s="2452"/>
      <c r="K39" s="2455"/>
      <c r="L39" s="247"/>
    </row>
    <row r="40" spans="1:15" ht="11.25" customHeight="1" x14ac:dyDescent="0.25">
      <c r="A40" s="128" t="s">
        <v>1367</v>
      </c>
      <c r="B40" s="60" t="s">
        <v>2176</v>
      </c>
      <c r="C40" s="2448"/>
      <c r="D40" s="2449"/>
      <c r="E40" s="2450"/>
      <c r="F40" s="2451"/>
      <c r="G40" s="2452"/>
      <c r="H40" s="2453"/>
      <c r="I40" s="2454"/>
      <c r="J40" s="2452"/>
      <c r="K40" s="2455"/>
      <c r="L40" s="247"/>
    </row>
    <row r="41" spans="1:15" ht="11.25" customHeight="1" x14ac:dyDescent="0.25">
      <c r="A41" s="1171" t="s">
        <v>1368</v>
      </c>
      <c r="B41" s="259" t="s">
        <v>2176</v>
      </c>
      <c r="C41" s="2456"/>
      <c r="D41" s="2457"/>
      <c r="E41" s="2458"/>
      <c r="F41" s="2459"/>
      <c r="G41" s="2460"/>
      <c r="H41" s="2461"/>
      <c r="I41" s="2462"/>
      <c r="J41" s="2460"/>
      <c r="K41" s="2463"/>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60" t="s">
        <v>1849</v>
      </c>
      <c r="B44" s="897"/>
      <c r="C44" s="939"/>
      <c r="D44" s="939"/>
      <c r="E44" s="939"/>
      <c r="F44" s="939"/>
      <c r="G44" s="939"/>
      <c r="H44" s="939"/>
      <c r="I44" s="939"/>
      <c r="J44" s="939"/>
      <c r="K44" s="939"/>
      <c r="L44" s="247"/>
    </row>
    <row r="45" spans="1:15" ht="11.25" customHeight="1" x14ac:dyDescent="0.25">
      <c r="A45" s="1271" t="s">
        <v>1850</v>
      </c>
      <c r="B45" s="907"/>
      <c r="C45" s="586"/>
      <c r="D45" s="586"/>
      <c r="E45" s="586"/>
      <c r="F45" s="586"/>
      <c r="G45" s="586"/>
      <c r="H45" s="586"/>
      <c r="I45" s="586"/>
      <c r="J45" s="586"/>
      <c r="K45" s="586"/>
    </row>
    <row r="46" spans="1:15" ht="11.25" customHeight="1" x14ac:dyDescent="0.25">
      <c r="A46" s="1271" t="s">
        <v>1851</v>
      </c>
      <c r="B46" s="907"/>
      <c r="C46" s="586"/>
      <c r="D46" s="586"/>
      <c r="E46" s="586"/>
      <c r="F46" s="586"/>
      <c r="G46" s="586"/>
      <c r="H46" s="586"/>
      <c r="I46" s="586"/>
      <c r="J46" s="586"/>
      <c r="K46" s="586"/>
    </row>
    <row r="47" spans="1:15" ht="11.25" customHeight="1" x14ac:dyDescent="0.25">
      <c r="A47" s="1271" t="s">
        <v>1852</v>
      </c>
      <c r="B47" s="907"/>
      <c r="C47" s="586"/>
      <c r="D47" s="586"/>
      <c r="E47" s="586"/>
      <c r="F47" s="586"/>
      <c r="G47" s="586"/>
      <c r="H47" s="586"/>
      <c r="I47" s="586"/>
      <c r="J47" s="586"/>
      <c r="K47" s="586"/>
    </row>
    <row r="48" spans="1:15" ht="11.25" customHeight="1" x14ac:dyDescent="0.25">
      <c r="A48" s="1271" t="s">
        <v>1853</v>
      </c>
      <c r="B48" s="907"/>
      <c r="C48" s="586"/>
      <c r="D48" s="586"/>
      <c r="E48" s="586"/>
      <c r="F48" s="586"/>
      <c r="G48" s="586"/>
      <c r="H48" s="586"/>
      <c r="I48" s="586"/>
      <c r="J48" s="586"/>
      <c r="K48" s="586"/>
    </row>
    <row r="49" spans="1:11" ht="11.25" customHeight="1" x14ac:dyDescent="0.25">
      <c r="A49" s="1271" t="s">
        <v>1854</v>
      </c>
      <c r="B49" s="907"/>
      <c r="C49" s="586"/>
      <c r="D49" s="586"/>
      <c r="E49" s="586"/>
      <c r="F49" s="586"/>
      <c r="G49" s="586"/>
      <c r="H49" s="586"/>
      <c r="I49" s="586"/>
      <c r="J49" s="586"/>
      <c r="K49" s="586"/>
    </row>
    <row r="50" spans="1:11" ht="11.25" customHeight="1" x14ac:dyDescent="0.25">
      <c r="A50" s="1271" t="s">
        <v>1855</v>
      </c>
      <c r="B50" s="907"/>
      <c r="C50" s="586"/>
      <c r="D50" s="586"/>
      <c r="E50" s="586"/>
      <c r="F50" s="586"/>
      <c r="G50" s="586"/>
      <c r="H50" s="586"/>
      <c r="I50" s="586"/>
      <c r="J50" s="586"/>
      <c r="K50" s="586"/>
    </row>
    <row r="51" spans="1:11" ht="11.25" customHeight="1" x14ac:dyDescent="0.25">
      <c r="A51" s="1271" t="s">
        <v>1856</v>
      </c>
      <c r="B51" s="907"/>
      <c r="C51" s="586"/>
      <c r="D51" s="586"/>
      <c r="E51" s="586"/>
      <c r="F51" s="586"/>
      <c r="G51" s="586"/>
      <c r="H51" s="586"/>
      <c r="I51" s="586"/>
      <c r="J51" s="586"/>
      <c r="K51" s="586"/>
    </row>
    <row r="52" spans="1:11" x14ac:dyDescent="0.25">
      <c r="A52" s="1271" t="s">
        <v>2163</v>
      </c>
    </row>
    <row r="53" spans="1:11" x14ac:dyDescent="0.25">
      <c r="A53" s="1271" t="s">
        <v>2174</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25" activePane="bottomRight" state="frozen"/>
      <selection pane="topRight"/>
      <selection pane="bottomLeft"/>
      <selection pane="bottomRight" activeCell="C39" activeCellId="1" sqref="C22 C3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LIM471 Ephraim Mogale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1703</v>
      </c>
      <c r="P2" s="2651"/>
      <c r="Q2" s="2652"/>
    </row>
    <row r="3" spans="1:17" ht="25.5" x14ac:dyDescent="0.25">
      <c r="A3" s="865" t="s">
        <v>625</v>
      </c>
      <c r="B3" s="870"/>
      <c r="C3" s="177" t="s">
        <v>682</v>
      </c>
      <c r="D3" s="801" t="s">
        <v>1352</v>
      </c>
      <c r="E3" s="801" t="s">
        <v>1353</v>
      </c>
      <c r="F3" s="801" t="s">
        <v>1354</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2107">
        <v>2364361.3716600002</v>
      </c>
      <c r="D5" s="2107">
        <v>2364361.3716600002</v>
      </c>
      <c r="E5" s="2107">
        <v>2364361.3716600002</v>
      </c>
      <c r="F5" s="2107">
        <v>2364361.3716600002</v>
      </c>
      <c r="G5" s="2107">
        <v>2364361.3716600002</v>
      </c>
      <c r="H5" s="2107">
        <v>2364361.3716600002</v>
      </c>
      <c r="I5" s="2107">
        <v>2364361.3716600002</v>
      </c>
      <c r="J5" s="2107">
        <v>2364361.3716600002</v>
      </c>
      <c r="K5" s="2107">
        <v>2364361.3716600002</v>
      </c>
      <c r="L5" s="2107">
        <v>2364361.3716600002</v>
      </c>
      <c r="M5" s="2107">
        <v>2364361.3716600002</v>
      </c>
      <c r="N5" s="681">
        <f t="shared" ref="N5:N21" si="0">O5-SUM(C5:M5)</f>
        <v>2364361.3707399964</v>
      </c>
      <c r="O5" s="83">
        <f>'A4-FinPerf RE'!J5</f>
        <v>28372336.459000003</v>
      </c>
      <c r="P5" s="81">
        <f>'A4-FinPerf RE'!K5</f>
        <v>30074676.646540001</v>
      </c>
      <c r="Q5" s="82">
        <f>'A4-FinPerf RE'!L5</f>
        <v>31879157.245332401</v>
      </c>
    </row>
    <row r="6" spans="1:17" ht="11.25" customHeight="1" x14ac:dyDescent="0.25">
      <c r="A6" s="128" t="str">
        <f>'A4-FinPerf RE'!A6</f>
        <v>Property rates - penalties &amp; collection charges</v>
      </c>
      <c r="B6" s="737"/>
      <c r="C6" s="2107"/>
      <c r="D6" s="2088"/>
      <c r="E6" s="2088"/>
      <c r="F6" s="2088"/>
      <c r="G6" s="2088"/>
      <c r="H6" s="2088"/>
      <c r="I6" s="2088"/>
      <c r="J6" s="2088"/>
      <c r="K6" s="2088"/>
      <c r="L6" s="2088"/>
      <c r="M6" s="2088"/>
      <c r="N6" s="681">
        <f t="shared" si="0"/>
        <v>0</v>
      </c>
      <c r="O6" s="83">
        <f>'A4-FinPerf RE'!J6</f>
        <v>0</v>
      </c>
      <c r="P6" s="85">
        <f>'A4-FinPerf RE'!K6</f>
        <v>0</v>
      </c>
      <c r="Q6" s="142">
        <f>'A4-FinPerf RE'!L6</f>
        <v>0</v>
      </c>
    </row>
    <row r="7" spans="1:17" ht="11.25" customHeight="1" x14ac:dyDescent="0.25">
      <c r="A7" s="128" t="str">
        <f>'A4-FinPerf RE'!A7</f>
        <v>Service charges - electricity revenue</v>
      </c>
      <c r="B7" s="737"/>
      <c r="C7" s="2107">
        <v>4526221.5983300004</v>
      </c>
      <c r="D7" s="2107">
        <v>4526221.5983300004</v>
      </c>
      <c r="E7" s="2107">
        <v>4526221.5983300004</v>
      </c>
      <c r="F7" s="2107">
        <v>4526221.5983300004</v>
      </c>
      <c r="G7" s="2107">
        <v>4526221.5983300004</v>
      </c>
      <c r="H7" s="2107">
        <v>4526221.5983300004</v>
      </c>
      <c r="I7" s="2107">
        <v>4526221.5983300004</v>
      </c>
      <c r="J7" s="2107">
        <v>4526221.5983300004</v>
      </c>
      <c r="K7" s="2107">
        <v>4526221.5983300004</v>
      </c>
      <c r="L7" s="2107">
        <v>4526221.5983300004</v>
      </c>
      <c r="M7" s="2107">
        <v>4526221.5983300004</v>
      </c>
      <c r="N7" s="681">
        <f t="shared" si="0"/>
        <v>4526221.5948900133</v>
      </c>
      <c r="O7" s="83">
        <f>'A4-FinPerf RE'!J7</f>
        <v>54314659.176520005</v>
      </c>
      <c r="P7" s="85">
        <f>'A4-FinPerf RE'!K7</f>
        <v>57573538.727111198</v>
      </c>
      <c r="Q7" s="142">
        <f>'A4-FinPerf RE'!L7</f>
        <v>61027951.050737873</v>
      </c>
    </row>
    <row r="8" spans="1:17" ht="11.25" customHeight="1" x14ac:dyDescent="0.25">
      <c r="A8" s="128" t="str">
        <f>'A4-FinPerf RE'!A8</f>
        <v>Service charges - water revenue</v>
      </c>
      <c r="B8" s="737"/>
      <c r="C8" s="2107"/>
      <c r="D8" s="2088"/>
      <c r="E8" s="2088"/>
      <c r="F8" s="2088"/>
      <c r="G8" s="2088"/>
      <c r="H8" s="2088"/>
      <c r="I8" s="2088"/>
      <c r="J8" s="2088"/>
      <c r="K8" s="2088"/>
      <c r="L8" s="2088"/>
      <c r="M8" s="2088"/>
      <c r="N8" s="681">
        <f t="shared" si="0"/>
        <v>0</v>
      </c>
      <c r="O8" s="83">
        <f>'A4-FinPerf RE'!J8</f>
        <v>0</v>
      </c>
      <c r="P8" s="85">
        <f>'A4-FinPerf RE'!K8</f>
        <v>0</v>
      </c>
      <c r="Q8" s="142">
        <f>'A4-FinPerf RE'!L8</f>
        <v>0</v>
      </c>
    </row>
    <row r="9" spans="1:17" ht="11.25" customHeight="1" x14ac:dyDescent="0.25">
      <c r="A9" s="128" t="str">
        <f>'A4-FinPerf RE'!A9</f>
        <v>Service charges - sanitation revenue</v>
      </c>
      <c r="B9" s="737"/>
      <c r="C9" s="2107"/>
      <c r="D9" s="2088"/>
      <c r="E9" s="2088"/>
      <c r="F9" s="2088"/>
      <c r="G9" s="2088"/>
      <c r="H9" s="2088"/>
      <c r="I9" s="2088"/>
      <c r="J9" s="2088"/>
      <c r="K9" s="2088"/>
      <c r="L9" s="2088"/>
      <c r="M9" s="2088"/>
      <c r="N9" s="681">
        <f t="shared" si="0"/>
        <v>0</v>
      </c>
      <c r="O9" s="83">
        <f>'A4-FinPerf RE'!J9</f>
        <v>0</v>
      </c>
      <c r="P9" s="85">
        <f>'A4-FinPerf RE'!K9</f>
        <v>0</v>
      </c>
      <c r="Q9" s="142">
        <f>'A4-FinPerf RE'!L9</f>
        <v>0</v>
      </c>
    </row>
    <row r="10" spans="1:17" ht="11.25" customHeight="1" x14ac:dyDescent="0.25">
      <c r="A10" s="128" t="str">
        <f>'A4-FinPerf RE'!A10</f>
        <v>Service charges - refuse revenue</v>
      </c>
      <c r="B10" s="737"/>
      <c r="C10" s="2107">
        <v>367293.54166599998</v>
      </c>
      <c r="D10" s="2107">
        <v>367293.54166599998</v>
      </c>
      <c r="E10" s="2107">
        <v>367293.54166599998</v>
      </c>
      <c r="F10" s="2107">
        <v>367293.54166599998</v>
      </c>
      <c r="G10" s="2107">
        <v>367293.54166599998</v>
      </c>
      <c r="H10" s="2107">
        <v>367293.54166599998</v>
      </c>
      <c r="I10" s="2107">
        <v>367293.54166599998</v>
      </c>
      <c r="J10" s="2107">
        <v>367293.54166599998</v>
      </c>
      <c r="K10" s="2107">
        <v>367293.54166599998</v>
      </c>
      <c r="L10" s="2107">
        <v>367293.54166599998</v>
      </c>
      <c r="M10" s="2107">
        <v>367293.54166599998</v>
      </c>
      <c r="N10" s="681">
        <f t="shared" si="0"/>
        <v>367293.53707400057</v>
      </c>
      <c r="O10" s="83">
        <f>'A4-FinPerf RE'!J10</f>
        <v>4407522.4954000013</v>
      </c>
      <c r="P10" s="85">
        <f>'A4-FinPerf RE'!K10</f>
        <v>4671973.8451239998</v>
      </c>
      <c r="Q10" s="142">
        <f>'A4-FinPerf RE'!L10</f>
        <v>4952292.2758314405</v>
      </c>
    </row>
    <row r="11" spans="1:17" ht="11.25" customHeight="1" x14ac:dyDescent="0.25">
      <c r="A11" s="128" t="str">
        <f>'A4-FinPerf RE'!A11</f>
        <v>Service charges - other</v>
      </c>
      <c r="B11" s="737"/>
      <c r="C11" s="2107"/>
      <c r="D11" s="2088"/>
      <c r="E11" s="2088"/>
      <c r="F11" s="2088"/>
      <c r="G11" s="2088"/>
      <c r="H11" s="2088"/>
      <c r="I11" s="2088"/>
      <c r="J11" s="2088"/>
      <c r="K11" s="2088"/>
      <c r="L11" s="2088"/>
      <c r="M11" s="2088"/>
      <c r="N11" s="681">
        <f t="shared" si="0"/>
        <v>0</v>
      </c>
      <c r="O11" s="83">
        <f>'A4-FinPerf RE'!J11</f>
        <v>0</v>
      </c>
      <c r="P11" s="81">
        <f>'A4-FinPerf RE'!K11</f>
        <v>0</v>
      </c>
      <c r="Q11" s="82">
        <f>'A4-FinPerf RE'!L11</f>
        <v>0</v>
      </c>
    </row>
    <row r="12" spans="1:17" ht="11.25" customHeight="1" x14ac:dyDescent="0.25">
      <c r="A12" s="128" t="str">
        <f>'A4-FinPerf RE'!A12</f>
        <v>Rental of facilities and equipment</v>
      </c>
      <c r="B12" s="737"/>
      <c r="C12" s="2107">
        <v>17439.6408333</v>
      </c>
      <c r="D12" s="2107">
        <v>17439.6408333</v>
      </c>
      <c r="E12" s="2107">
        <v>17439.6408333</v>
      </c>
      <c r="F12" s="2107">
        <v>17439.6408333</v>
      </c>
      <c r="G12" s="2107">
        <v>17439.6408333</v>
      </c>
      <c r="H12" s="2107">
        <v>17439.6408333</v>
      </c>
      <c r="I12" s="2107">
        <v>17439.6408333</v>
      </c>
      <c r="J12" s="2107">
        <v>17439.6408333</v>
      </c>
      <c r="K12" s="2107">
        <v>17439.6408333</v>
      </c>
      <c r="L12" s="2107">
        <v>17439.6408333</v>
      </c>
      <c r="M12" s="2107">
        <v>17439.6408333</v>
      </c>
      <c r="N12" s="681">
        <f t="shared" si="0"/>
        <v>17439.644833699975</v>
      </c>
      <c r="O12" s="83">
        <f>'A4-FinPerf RE'!J12</f>
        <v>209275.69400000002</v>
      </c>
      <c r="P12" s="81">
        <f>'A4-FinPerf RE'!K12</f>
        <v>221832.23564</v>
      </c>
      <c r="Q12" s="82">
        <f>'A4-FinPerf RE'!L12</f>
        <v>235142.16977840001</v>
      </c>
    </row>
    <row r="13" spans="1:17" ht="11.25" customHeight="1" x14ac:dyDescent="0.25">
      <c r="A13" s="128" t="str">
        <f>'A4-FinPerf RE'!A13</f>
        <v>Interest earned - external investments</v>
      </c>
      <c r="B13" s="737"/>
      <c r="C13" s="2107">
        <v>103383.3725</v>
      </c>
      <c r="D13" s="2107">
        <v>103383.3725</v>
      </c>
      <c r="E13" s="2107">
        <v>103383.3725</v>
      </c>
      <c r="F13" s="2107">
        <v>103383.3725</v>
      </c>
      <c r="G13" s="2107">
        <v>103383.3725</v>
      </c>
      <c r="H13" s="2107">
        <v>103383.3725</v>
      </c>
      <c r="I13" s="2107">
        <v>103383.3725</v>
      </c>
      <c r="J13" s="2107">
        <v>103383.3725</v>
      </c>
      <c r="K13" s="2107">
        <v>103383.3725</v>
      </c>
      <c r="L13" s="2107">
        <v>103383.3725</v>
      </c>
      <c r="M13" s="2107">
        <v>103383.3725</v>
      </c>
      <c r="N13" s="681">
        <f t="shared" si="0"/>
        <v>103383.37049999996</v>
      </c>
      <c r="O13" s="83">
        <f>'A4-FinPerf RE'!J13</f>
        <v>1240600.4680000001</v>
      </c>
      <c r="P13" s="81">
        <f>'A4-FinPerf RE'!K13</f>
        <v>1315036.49608</v>
      </c>
      <c r="Q13" s="82">
        <f>'A4-FinPerf RE'!L13</f>
        <v>1393938.6858448</v>
      </c>
    </row>
    <row r="14" spans="1:17" ht="11.25" customHeight="1" x14ac:dyDescent="0.25">
      <c r="A14" s="128" t="str">
        <f>'A4-FinPerf RE'!A14</f>
        <v>Interest earned - outstanding debtors</v>
      </c>
      <c r="B14" s="737"/>
      <c r="C14" s="2107">
        <v>197997.04665999999</v>
      </c>
      <c r="D14" s="2107">
        <v>197997.04665999999</v>
      </c>
      <c r="E14" s="2107">
        <v>197997.04665999999</v>
      </c>
      <c r="F14" s="2107">
        <v>197997.04665999999</v>
      </c>
      <c r="G14" s="2107">
        <v>197997.04665999999</v>
      </c>
      <c r="H14" s="2107">
        <v>197997.04665999999</v>
      </c>
      <c r="I14" s="2107">
        <v>197997.04665999999</v>
      </c>
      <c r="J14" s="2107">
        <v>197997.04665999999</v>
      </c>
      <c r="K14" s="2107">
        <v>197997.04665999999</v>
      </c>
      <c r="L14" s="2107">
        <v>197997.04665999999</v>
      </c>
      <c r="M14" s="2107">
        <v>197997.04665999999</v>
      </c>
      <c r="N14" s="681">
        <f t="shared" si="0"/>
        <v>197997.04674000014</v>
      </c>
      <c r="O14" s="83">
        <f>'A4-FinPerf RE'!J14</f>
        <v>2375964.56</v>
      </c>
      <c r="P14" s="81">
        <f>'A4-FinPerf RE'!K14</f>
        <v>2518522.4336000001</v>
      </c>
      <c r="Q14" s="82">
        <f>'A4-FinPerf RE'!L14</f>
        <v>2669633.7796160001</v>
      </c>
    </row>
    <row r="15" spans="1:17" ht="11.25" customHeight="1" x14ac:dyDescent="0.25">
      <c r="A15" s="128" t="str">
        <f>'A4-FinPerf RE'!A15</f>
        <v>Dividends received</v>
      </c>
      <c r="B15" s="737"/>
      <c r="C15" s="2107"/>
      <c r="D15" s="2088"/>
      <c r="E15" s="2088"/>
      <c r="F15" s="2088"/>
      <c r="G15" s="2088"/>
      <c r="H15" s="2088"/>
      <c r="I15" s="2088"/>
      <c r="J15" s="2088"/>
      <c r="K15" s="2088"/>
      <c r="L15" s="2088"/>
      <c r="M15" s="2088"/>
      <c r="N15" s="681">
        <f t="shared" si="0"/>
        <v>0</v>
      </c>
      <c r="O15" s="83">
        <f>'A4-FinPerf RE'!J15</f>
        <v>0</v>
      </c>
      <c r="P15" s="81">
        <f>'A4-FinPerf RE'!K15</f>
        <v>0</v>
      </c>
      <c r="Q15" s="82">
        <f>'A4-FinPerf RE'!L15</f>
        <v>0</v>
      </c>
    </row>
    <row r="16" spans="1:17" ht="11.25" customHeight="1" x14ac:dyDescent="0.25">
      <c r="A16" s="128" t="str">
        <f>'A4-FinPerf RE'!A16</f>
        <v>Fines</v>
      </c>
      <c r="B16" s="737"/>
      <c r="C16" s="2107">
        <v>60934.964166600002</v>
      </c>
      <c r="D16" s="2107">
        <v>60934.964166600002</v>
      </c>
      <c r="E16" s="2107">
        <v>60934.964166600002</v>
      </c>
      <c r="F16" s="2107">
        <v>60934.964166600002</v>
      </c>
      <c r="G16" s="2107">
        <v>60934.964166600002</v>
      </c>
      <c r="H16" s="2107">
        <v>60934.964166600002</v>
      </c>
      <c r="I16" s="2107">
        <v>60934.964166600002</v>
      </c>
      <c r="J16" s="2107">
        <v>60934.964166600002</v>
      </c>
      <c r="K16" s="2107">
        <v>60934.964166600002</v>
      </c>
      <c r="L16" s="2107">
        <v>60934.964166600002</v>
      </c>
      <c r="M16" s="2107">
        <v>60934.964166600002</v>
      </c>
      <c r="N16" s="681">
        <f t="shared" si="0"/>
        <v>60934.962167399935</v>
      </c>
      <c r="O16" s="83">
        <f>'A4-FinPerf RE'!J16</f>
        <v>731219.56800000009</v>
      </c>
      <c r="P16" s="81">
        <f>'A4-FinPerf RE'!K16</f>
        <v>775092.74208</v>
      </c>
      <c r="Q16" s="82">
        <f>'A4-FinPerf RE'!L16</f>
        <v>821598.30660480005</v>
      </c>
    </row>
    <row r="17" spans="1:17" ht="11.25" customHeight="1" x14ac:dyDescent="0.25">
      <c r="A17" s="128" t="str">
        <f>'A4-FinPerf RE'!A17</f>
        <v>Licences and permits</v>
      </c>
      <c r="B17" s="737"/>
      <c r="C17" s="2107">
        <v>282980.91583299998</v>
      </c>
      <c r="D17" s="2107">
        <v>282980.91583299998</v>
      </c>
      <c r="E17" s="2107">
        <v>282980.91583299998</v>
      </c>
      <c r="F17" s="2107">
        <v>282980.91583299998</v>
      </c>
      <c r="G17" s="2107">
        <v>282980.91583299998</v>
      </c>
      <c r="H17" s="2107">
        <v>282980.91583299998</v>
      </c>
      <c r="I17" s="2107">
        <v>282980.91583299998</v>
      </c>
      <c r="J17" s="2107">
        <v>282980.91583299998</v>
      </c>
      <c r="K17" s="2107">
        <v>282980.91583299998</v>
      </c>
      <c r="L17" s="2107">
        <v>282980.91583299998</v>
      </c>
      <c r="M17" s="2107">
        <v>282980.91583299998</v>
      </c>
      <c r="N17" s="681">
        <f t="shared" si="0"/>
        <v>282980.91823699931</v>
      </c>
      <c r="O17" s="83">
        <f>'A4-FinPerf RE'!J17</f>
        <v>3395770.9923999999</v>
      </c>
      <c r="P17" s="81">
        <f>'A4-FinPerf RE'!K17</f>
        <v>3599517.2519439999</v>
      </c>
      <c r="Q17" s="82">
        <f>'A4-FinPerf RE'!L17</f>
        <v>3815488.2870606403</v>
      </c>
    </row>
    <row r="18" spans="1:17" ht="11.25" customHeight="1" x14ac:dyDescent="0.25">
      <c r="A18" s="128" t="str">
        <f>'A4-FinPerf RE'!A18</f>
        <v>Agency services</v>
      </c>
      <c r="B18" s="737"/>
      <c r="C18" s="2107">
        <v>673204.94</v>
      </c>
      <c r="D18" s="2107">
        <v>673204.94</v>
      </c>
      <c r="E18" s="2107">
        <v>673204.94</v>
      </c>
      <c r="F18" s="2107">
        <v>673204.94</v>
      </c>
      <c r="G18" s="2107">
        <v>673204.94</v>
      </c>
      <c r="H18" s="2107">
        <v>673204.94</v>
      </c>
      <c r="I18" s="2107">
        <v>673204.94</v>
      </c>
      <c r="J18" s="2107">
        <v>673204.94</v>
      </c>
      <c r="K18" s="2107">
        <v>673204.94</v>
      </c>
      <c r="L18" s="2107">
        <v>673204.94</v>
      </c>
      <c r="M18" s="2107">
        <v>673204.94</v>
      </c>
      <c r="N18" s="681">
        <f t="shared" si="0"/>
        <v>673204.94000000227</v>
      </c>
      <c r="O18" s="83">
        <f>'A4-FinPerf RE'!J18</f>
        <v>8078459.2800000003</v>
      </c>
      <c r="P18" s="81">
        <f>'A4-FinPerf RE'!K18</f>
        <v>8563166.8367999997</v>
      </c>
      <c r="Q18" s="82">
        <f>'A4-FinPerf RE'!L18</f>
        <v>9076956.8470079992</v>
      </c>
    </row>
    <row r="19" spans="1:17" ht="11.25" customHeight="1" x14ac:dyDescent="0.25">
      <c r="A19" s="128" t="str">
        <f>'A4-FinPerf RE'!A19</f>
        <v>Transfers recognised - operational</v>
      </c>
      <c r="B19" s="737"/>
      <c r="C19" s="2107">
        <v>10114500</v>
      </c>
      <c r="D19" s="2107">
        <v>10114500</v>
      </c>
      <c r="E19" s="2107">
        <v>10114500</v>
      </c>
      <c r="F19" s="2107">
        <v>10114500</v>
      </c>
      <c r="G19" s="2107">
        <v>10114500</v>
      </c>
      <c r="H19" s="2107">
        <v>10114500</v>
      </c>
      <c r="I19" s="2107">
        <v>10114500</v>
      </c>
      <c r="J19" s="2107">
        <v>10114500</v>
      </c>
      <c r="K19" s="2107">
        <v>10114500</v>
      </c>
      <c r="L19" s="2107">
        <v>10114500</v>
      </c>
      <c r="M19" s="2107">
        <v>10114500</v>
      </c>
      <c r="N19" s="681">
        <f t="shared" si="0"/>
        <v>10114500</v>
      </c>
      <c r="O19" s="83">
        <f>'A4-FinPerf RE'!J19</f>
        <v>121374000</v>
      </c>
      <c r="P19" s="81">
        <f>'A4-FinPerf RE'!K19</f>
        <v>129936000</v>
      </c>
      <c r="Q19" s="82">
        <f>'A4-FinPerf RE'!L19</f>
        <v>137610000</v>
      </c>
    </row>
    <row r="20" spans="1:17" ht="11.25" customHeight="1" x14ac:dyDescent="0.25">
      <c r="A20" s="128" t="str">
        <f>'A4-FinPerf RE'!A20</f>
        <v>Other revenue</v>
      </c>
      <c r="B20" s="737"/>
      <c r="C20" s="2107">
        <v>262246.53416600003</v>
      </c>
      <c r="D20" s="2107">
        <v>262246.53416600003</v>
      </c>
      <c r="E20" s="2107">
        <v>262246.53416600003</v>
      </c>
      <c r="F20" s="2107">
        <v>262246.53416600003</v>
      </c>
      <c r="G20" s="2107">
        <v>262246.53416600003</v>
      </c>
      <c r="H20" s="2107">
        <v>262246.53416600003</v>
      </c>
      <c r="I20" s="2107">
        <v>262246.53416600003</v>
      </c>
      <c r="J20" s="2107">
        <v>262246.53416600003</v>
      </c>
      <c r="K20" s="2107">
        <v>262246.53416600003</v>
      </c>
      <c r="L20" s="2107">
        <v>262246.53416600003</v>
      </c>
      <c r="M20" s="2107">
        <v>262246.53416600003</v>
      </c>
      <c r="N20" s="681">
        <f t="shared" si="0"/>
        <v>2467344.7941740002</v>
      </c>
      <c r="O20" s="83">
        <f>'A4-FinPerf RE'!J20</f>
        <v>5352056.67</v>
      </c>
      <c r="P20" s="81">
        <f>'A4-FinPerf RE'!K20</f>
        <v>5673180.1600000001</v>
      </c>
      <c r="Q20" s="82">
        <f>'A4-FinPerf RE'!L20</f>
        <v>6013571.4100000001</v>
      </c>
    </row>
    <row r="21" spans="1:17" ht="11.25" customHeight="1" x14ac:dyDescent="0.25">
      <c r="A21" s="128" t="str">
        <f>'A4-FinPerf RE'!A21</f>
        <v>Gains on disposal of PPE</v>
      </c>
      <c r="B21" s="737"/>
      <c r="C21" s="2107"/>
      <c r="D21" s="2088"/>
      <c r="E21" s="2088"/>
      <c r="F21" s="2088"/>
      <c r="G21" s="2088"/>
      <c r="H21" s="2088"/>
      <c r="I21" s="2088"/>
      <c r="J21" s="2088"/>
      <c r="K21" s="2088"/>
      <c r="L21" s="2088"/>
      <c r="M21" s="2088"/>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18970563.925814901</v>
      </c>
      <c r="D22" s="91">
        <f t="shared" si="1"/>
        <v>18970563.925814901</v>
      </c>
      <c r="E22" s="91">
        <f t="shared" si="1"/>
        <v>18970563.925814901</v>
      </c>
      <c r="F22" s="91">
        <f t="shared" si="1"/>
        <v>18970563.925814901</v>
      </c>
      <c r="G22" s="91">
        <f t="shared" si="1"/>
        <v>18970563.925814901</v>
      </c>
      <c r="H22" s="91">
        <f t="shared" si="1"/>
        <v>18970563.925814901</v>
      </c>
      <c r="I22" s="91">
        <f t="shared" si="1"/>
        <v>18970563.925814901</v>
      </c>
      <c r="J22" s="91">
        <f t="shared" si="1"/>
        <v>18970563.925814901</v>
      </c>
      <c r="K22" s="91">
        <f t="shared" si="1"/>
        <v>18970563.925814901</v>
      </c>
      <c r="L22" s="91">
        <f t="shared" si="1"/>
        <v>18970563.925814901</v>
      </c>
      <c r="M22" s="91">
        <f t="shared" si="1"/>
        <v>18970563.925814901</v>
      </c>
      <c r="N22" s="739">
        <f t="shared" si="1"/>
        <v>21175662.179356113</v>
      </c>
      <c r="O22" s="93">
        <f t="shared" si="1"/>
        <v>229851865.36332002</v>
      </c>
      <c r="P22" s="91">
        <f t="shared" si="1"/>
        <v>244922537.37491921</v>
      </c>
      <c r="Q22" s="92">
        <f t="shared" si="1"/>
        <v>259495730.05781436</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2107">
        <v>5892479.2350000003</v>
      </c>
      <c r="D25" s="2107">
        <v>5892479.2350000003</v>
      </c>
      <c r="E25" s="2107">
        <v>5892479.2350000003</v>
      </c>
      <c r="F25" s="2107">
        <v>5892479.2350000003</v>
      </c>
      <c r="G25" s="2107">
        <v>5892479.2350000003</v>
      </c>
      <c r="H25" s="2107">
        <v>5892479.2350000003</v>
      </c>
      <c r="I25" s="2107">
        <v>5892479.2350000003</v>
      </c>
      <c r="J25" s="2107">
        <v>5892479.2350000003</v>
      </c>
      <c r="K25" s="2107">
        <v>5892479.2350000003</v>
      </c>
      <c r="L25" s="2107">
        <v>5892479.2350000003</v>
      </c>
      <c r="M25" s="2107">
        <v>5892479.2350000003</v>
      </c>
      <c r="N25" s="681">
        <f t="shared" ref="N25:N35" si="2">O25-SUM(C25:M25)</f>
        <v>5892479.234999992</v>
      </c>
      <c r="O25" s="83">
        <f>'A4-FinPerf RE'!J25</f>
        <v>70709750.819999993</v>
      </c>
      <c r="P25" s="81">
        <f>'A4-FinPerf RE'!K25</f>
        <v>74952335.86999999</v>
      </c>
      <c r="Q25" s="82">
        <f>'A4-FinPerf RE'!L25</f>
        <v>79449476.019999996</v>
      </c>
    </row>
    <row r="26" spans="1:17" ht="11.25" customHeight="1" x14ac:dyDescent="0.25">
      <c r="A26" s="128" t="str">
        <f>'A4-FinPerf RE'!A26</f>
        <v>Remuneration of councillors</v>
      </c>
      <c r="B26" s="737"/>
      <c r="C26" s="2107">
        <v>971929.001666</v>
      </c>
      <c r="D26" s="2107">
        <v>971929.001666</v>
      </c>
      <c r="E26" s="2107">
        <v>971929.001666</v>
      </c>
      <c r="F26" s="2107">
        <v>971929.001666</v>
      </c>
      <c r="G26" s="2107">
        <v>971929.001666</v>
      </c>
      <c r="H26" s="2107">
        <v>971929.001666</v>
      </c>
      <c r="I26" s="2107">
        <v>971929.001666</v>
      </c>
      <c r="J26" s="2107">
        <v>971929.001666</v>
      </c>
      <c r="K26" s="2107">
        <v>971929.001666</v>
      </c>
      <c r="L26" s="2107">
        <v>971929.001666</v>
      </c>
      <c r="M26" s="2107">
        <v>971929.001666</v>
      </c>
      <c r="N26" s="681">
        <f t="shared" si="2"/>
        <v>971929.00167400017</v>
      </c>
      <c r="O26" s="83">
        <f>'A4-FinPerf RE'!J26</f>
        <v>11663148.02</v>
      </c>
      <c r="P26" s="81">
        <f>'A4-FinPerf RE'!K26</f>
        <v>12362936.9</v>
      </c>
      <c r="Q26" s="82">
        <f>'A4-FinPerf RE'!L26</f>
        <v>13104713.119999999</v>
      </c>
    </row>
    <row r="27" spans="1:17" ht="11.25" customHeight="1" x14ac:dyDescent="0.25">
      <c r="A27" s="128" t="str">
        <f>'A4-FinPerf RE'!A27</f>
        <v>Debt impairment</v>
      </c>
      <c r="B27" s="737"/>
      <c r="C27" s="2107">
        <v>609500</v>
      </c>
      <c r="D27" s="2107">
        <v>609500</v>
      </c>
      <c r="E27" s="2107">
        <v>609500</v>
      </c>
      <c r="F27" s="2107">
        <v>609500</v>
      </c>
      <c r="G27" s="2107">
        <v>609500</v>
      </c>
      <c r="H27" s="2107">
        <v>609500</v>
      </c>
      <c r="I27" s="2107">
        <v>609500</v>
      </c>
      <c r="J27" s="2107">
        <v>609500</v>
      </c>
      <c r="K27" s="2107">
        <v>609500</v>
      </c>
      <c r="L27" s="2107">
        <v>609500</v>
      </c>
      <c r="M27" s="2107">
        <v>609500</v>
      </c>
      <c r="N27" s="681">
        <f t="shared" si="2"/>
        <v>609500</v>
      </c>
      <c r="O27" s="83">
        <f>'A4-FinPerf RE'!J27</f>
        <v>7314000</v>
      </c>
      <c r="P27" s="81">
        <f>'A4-FinPerf RE'!K27</f>
        <v>7752840</v>
      </c>
      <c r="Q27" s="82">
        <f>'A4-FinPerf RE'!L27</f>
        <v>8218010.4000000004</v>
      </c>
    </row>
    <row r="28" spans="1:17" ht="11.25" customHeight="1" x14ac:dyDescent="0.25">
      <c r="A28" s="128" t="str">
        <f>'A4-FinPerf RE'!A28</f>
        <v>Depreciation &amp; asset impairment</v>
      </c>
      <c r="B28" s="737"/>
      <c r="C28" s="2107">
        <v>3745333.3333000001</v>
      </c>
      <c r="D28" s="2107">
        <v>3745333.3333000001</v>
      </c>
      <c r="E28" s="2107">
        <v>3745333.3333000001</v>
      </c>
      <c r="F28" s="2107">
        <v>3745333.3333000001</v>
      </c>
      <c r="G28" s="2107">
        <v>3745333.3333000001</v>
      </c>
      <c r="H28" s="2107">
        <v>3745333.3333000001</v>
      </c>
      <c r="I28" s="2107">
        <v>3745333.3333000001</v>
      </c>
      <c r="J28" s="2107">
        <v>3745333.3333000001</v>
      </c>
      <c r="K28" s="2107">
        <v>3745333.3333000001</v>
      </c>
      <c r="L28" s="2107">
        <v>3745333.3333000001</v>
      </c>
      <c r="M28" s="2107">
        <v>3745333.3333000001</v>
      </c>
      <c r="N28" s="681">
        <f t="shared" si="2"/>
        <v>3745333.3336999863</v>
      </c>
      <c r="O28" s="83">
        <f>'A4-FinPerf RE'!J28</f>
        <v>44944000</v>
      </c>
      <c r="P28" s="81">
        <f>'A4-FinPerf RE'!K28</f>
        <v>47640640</v>
      </c>
      <c r="Q28" s="82">
        <f>'A4-FinPerf RE'!L28</f>
        <v>50499078.399999999</v>
      </c>
    </row>
    <row r="29" spans="1:17" ht="11.25" customHeight="1" x14ac:dyDescent="0.25">
      <c r="A29" s="128" t="str">
        <f>'A4-FinPerf RE'!A29</f>
        <v>Finance charges</v>
      </c>
      <c r="B29" s="737"/>
      <c r="C29" s="2107">
        <v>66498.393330000006</v>
      </c>
      <c r="D29" s="2107">
        <v>66498.393330000006</v>
      </c>
      <c r="E29" s="2107">
        <v>66498.393330000006</v>
      </c>
      <c r="F29" s="2107">
        <v>66498.393330000006</v>
      </c>
      <c r="G29" s="2107">
        <v>66498.393330000006</v>
      </c>
      <c r="H29" s="2107">
        <v>66498.393330000006</v>
      </c>
      <c r="I29" s="2107">
        <v>66498.393330000006</v>
      </c>
      <c r="J29" s="2107">
        <v>66498.393330000006</v>
      </c>
      <c r="K29" s="2107">
        <v>66498.393330000006</v>
      </c>
      <c r="L29" s="2107">
        <v>66498.393330000006</v>
      </c>
      <c r="M29" s="2107">
        <v>66498.393330000006</v>
      </c>
      <c r="N29" s="681">
        <f t="shared" si="2"/>
        <v>66498.393369999947</v>
      </c>
      <c r="O29" s="83">
        <f>'A4-FinPerf RE'!J29</f>
        <v>797980.72</v>
      </c>
      <c r="P29" s="81">
        <f>'A4-FinPerf RE'!K29</f>
        <v>845859.56319999998</v>
      </c>
      <c r="Q29" s="82">
        <f>'A4-FinPerf RE'!L29</f>
        <v>896611.13699199993</v>
      </c>
    </row>
    <row r="30" spans="1:17" ht="11.25" customHeight="1" x14ac:dyDescent="0.25">
      <c r="A30" s="128" t="str">
        <f>'A4-FinPerf RE'!A30</f>
        <v>Bulk purchases</v>
      </c>
      <c r="B30" s="737"/>
      <c r="C30" s="2107">
        <v>2481642.4672500002</v>
      </c>
      <c r="D30" s="2107">
        <v>2481642.4672500002</v>
      </c>
      <c r="E30" s="2107">
        <v>2481642.4672500002</v>
      </c>
      <c r="F30" s="2107">
        <v>2481642.4672500002</v>
      </c>
      <c r="G30" s="2107">
        <v>2481642.4672500002</v>
      </c>
      <c r="H30" s="2107">
        <v>2481642.4672500002</v>
      </c>
      <c r="I30" s="2107">
        <v>2481642.4672500002</v>
      </c>
      <c r="J30" s="2107">
        <v>2481642.4672500002</v>
      </c>
      <c r="K30" s="2107">
        <v>2481642.4672500002</v>
      </c>
      <c r="L30" s="2107">
        <v>2481642.4672500002</v>
      </c>
      <c r="M30" s="2107">
        <v>2481642.4672500002</v>
      </c>
      <c r="N30" s="681">
        <f t="shared" si="2"/>
        <v>2481642.4674099982</v>
      </c>
      <c r="O30" s="83">
        <f>'A4-FinPerf RE'!J30</f>
        <v>29779709.607160002</v>
      </c>
      <c r="P30" s="81">
        <f>'A4-FinPerf RE'!K30</f>
        <v>31566492.183589604</v>
      </c>
      <c r="Q30" s="82">
        <f>'A4-FinPerf RE'!L30</f>
        <v>33460481.714604981</v>
      </c>
    </row>
    <row r="31" spans="1:17" ht="11.25" customHeight="1" x14ac:dyDescent="0.25">
      <c r="A31" s="128" t="str">
        <f>'A4-FinPerf RE'!A31</f>
        <v>Other materials</v>
      </c>
      <c r="B31" s="737"/>
      <c r="C31" s="2107">
        <v>1091120.2348499999</v>
      </c>
      <c r="D31" s="2107">
        <v>1091120.2348499999</v>
      </c>
      <c r="E31" s="2107">
        <v>1091120.2348499999</v>
      </c>
      <c r="F31" s="2107">
        <v>1091120.2348499999</v>
      </c>
      <c r="G31" s="2107">
        <v>1091120.2348499999</v>
      </c>
      <c r="H31" s="2107">
        <v>1091120.2348499999</v>
      </c>
      <c r="I31" s="2107">
        <v>1091120.2348499999</v>
      </c>
      <c r="J31" s="2107">
        <v>1091120.2348499999</v>
      </c>
      <c r="K31" s="2107">
        <v>1091120.2348499999</v>
      </c>
      <c r="L31" s="2107">
        <v>1091120.2348499999</v>
      </c>
      <c r="M31" s="2107">
        <v>1091120.2348499999</v>
      </c>
      <c r="N31" s="681">
        <f t="shared" si="2"/>
        <v>1091120.2348499987</v>
      </c>
      <c r="O31" s="83">
        <f>'A4-FinPerf RE'!J31</f>
        <v>13093442.8182</v>
      </c>
      <c r="P31" s="81">
        <f>'A4-FinPerf RE'!K31</f>
        <v>13879049.387292001</v>
      </c>
      <c r="Q31" s="82">
        <f>'A4-FinPerf RE'!L31</f>
        <v>14711792.35052952</v>
      </c>
    </row>
    <row r="32" spans="1:17" ht="11.25" customHeight="1" x14ac:dyDescent="0.25">
      <c r="A32" s="128" t="str">
        <f>'A4-FinPerf RE'!A32</f>
        <v>Contracted services</v>
      </c>
      <c r="B32" s="737"/>
      <c r="C32" s="2107"/>
      <c r="D32" s="2088"/>
      <c r="E32" s="2088"/>
      <c r="F32" s="2088"/>
      <c r="G32" s="2088"/>
      <c r="H32" s="2088"/>
      <c r="I32" s="2088"/>
      <c r="J32" s="2088"/>
      <c r="K32" s="2088"/>
      <c r="L32" s="2088"/>
      <c r="M32" s="2088"/>
      <c r="N32" s="681">
        <f t="shared" si="2"/>
        <v>0</v>
      </c>
      <c r="O32" s="83">
        <f>'A4-FinPerf RE'!J32</f>
        <v>0</v>
      </c>
      <c r="P32" s="81">
        <f>'A4-FinPerf RE'!K32</f>
        <v>0</v>
      </c>
      <c r="Q32" s="82">
        <f>'A4-FinPerf RE'!L32</f>
        <v>0</v>
      </c>
    </row>
    <row r="33" spans="1:17" ht="11.25" customHeight="1" x14ac:dyDescent="0.25">
      <c r="A33" s="128" t="str">
        <f>'A4-FinPerf RE'!A33</f>
        <v>Transfers and grants</v>
      </c>
      <c r="B33" s="737"/>
      <c r="C33" s="2107">
        <v>229157.185</v>
      </c>
      <c r="D33" s="2107">
        <v>229157.185</v>
      </c>
      <c r="E33" s="2107">
        <v>229157.185</v>
      </c>
      <c r="F33" s="2107">
        <v>229157.185</v>
      </c>
      <c r="G33" s="2107">
        <v>229157.185</v>
      </c>
      <c r="H33" s="2107">
        <v>229157.185</v>
      </c>
      <c r="I33" s="2107">
        <v>229157.185</v>
      </c>
      <c r="J33" s="2107">
        <v>229157.185</v>
      </c>
      <c r="K33" s="2107">
        <v>229157.185</v>
      </c>
      <c r="L33" s="2107">
        <v>229157.185</v>
      </c>
      <c r="M33" s="2107">
        <v>229157.185</v>
      </c>
      <c r="N33" s="681">
        <f t="shared" si="2"/>
        <v>229157.18500000006</v>
      </c>
      <c r="O33" s="83">
        <f>'A4-FinPerf RE'!J33</f>
        <v>2749886.22</v>
      </c>
      <c r="P33" s="81">
        <f>'A4-FinPerf RE'!K33</f>
        <v>2914879.86</v>
      </c>
      <c r="Q33" s="82">
        <f>'A4-FinPerf RE'!L33</f>
        <v>3089772.66</v>
      </c>
    </row>
    <row r="34" spans="1:17" ht="11.25" customHeight="1" x14ac:dyDescent="0.25">
      <c r="A34" s="128" t="str">
        <f>'A4-FinPerf RE'!A34</f>
        <v>Other expenditure</v>
      </c>
      <c r="B34" s="737"/>
      <c r="C34" s="2107">
        <v>11081245.600400001</v>
      </c>
      <c r="D34" s="2107">
        <v>11081245.600400001</v>
      </c>
      <c r="E34" s="2107">
        <v>11081245.600400001</v>
      </c>
      <c r="F34" s="2107">
        <v>11081245.600400001</v>
      </c>
      <c r="G34" s="2107">
        <v>11081245.600400001</v>
      </c>
      <c r="H34" s="2107">
        <v>11081245.600400001</v>
      </c>
      <c r="I34" s="2107">
        <v>11081245.600400001</v>
      </c>
      <c r="J34" s="2107">
        <v>11081245.600400001</v>
      </c>
      <c r="K34" s="2107">
        <v>11081245.600400001</v>
      </c>
      <c r="L34" s="2107">
        <v>11081245.600400001</v>
      </c>
      <c r="M34" s="2107">
        <v>11081245.600400001</v>
      </c>
      <c r="N34" s="681">
        <f t="shared" si="2"/>
        <v>11081245.600599989</v>
      </c>
      <c r="O34" s="83">
        <f>'A4-FinPerf RE'!J34</f>
        <v>132974947.205</v>
      </c>
      <c r="P34" s="81">
        <f>'A4-FinPerf RE'!K34</f>
        <v>139338344.447</v>
      </c>
      <c r="Q34" s="82">
        <f>'A4-FinPerf RE'!L34</f>
        <v>148582204.18019998</v>
      </c>
    </row>
    <row r="35" spans="1:17" ht="11.25" customHeight="1" x14ac:dyDescent="0.25">
      <c r="A35" s="128" t="str">
        <f>'A4-FinPerf RE'!A35</f>
        <v>Loss on disposal of PPE</v>
      </c>
      <c r="B35" s="737"/>
      <c r="C35" s="2107"/>
      <c r="D35" s="2088"/>
      <c r="E35" s="2088"/>
      <c r="F35" s="2088"/>
      <c r="G35" s="2088"/>
      <c r="H35" s="2088"/>
      <c r="I35" s="2088"/>
      <c r="J35" s="2088"/>
      <c r="K35" s="2088"/>
      <c r="L35" s="2088"/>
      <c r="M35" s="2088"/>
      <c r="N35" s="681">
        <f t="shared" si="2"/>
        <v>0</v>
      </c>
      <c r="O35" s="83">
        <f>'A4-FinPerf RE'!J35</f>
        <v>0</v>
      </c>
      <c r="P35" s="81">
        <f>'A4-FinPerf RE'!K35</f>
        <v>0</v>
      </c>
      <c r="Q35" s="82">
        <f>'A4-FinPerf RE'!L35</f>
        <v>0</v>
      </c>
    </row>
    <row r="36" spans="1:17" x14ac:dyDescent="0.25">
      <c r="A36" s="143" t="str">
        <f>'A4-FinPerf RE'!A36</f>
        <v>Total Expenditure</v>
      </c>
      <c r="B36" s="738"/>
      <c r="C36" s="93">
        <f>SUM(C25:C35)</f>
        <v>26168905.450796001</v>
      </c>
      <c r="D36" s="91">
        <f t="shared" ref="D36:Q36" si="3">SUM(D25:D35)</f>
        <v>26168905.450796001</v>
      </c>
      <c r="E36" s="91">
        <f t="shared" si="3"/>
        <v>26168905.450796001</v>
      </c>
      <c r="F36" s="91">
        <f t="shared" si="3"/>
        <v>26168905.450796001</v>
      </c>
      <c r="G36" s="91">
        <f t="shared" si="3"/>
        <v>26168905.450796001</v>
      </c>
      <c r="H36" s="91">
        <f t="shared" si="3"/>
        <v>26168905.450796001</v>
      </c>
      <c r="I36" s="91">
        <f t="shared" si="3"/>
        <v>26168905.450796001</v>
      </c>
      <c r="J36" s="91">
        <f t="shared" si="3"/>
        <v>26168905.450796001</v>
      </c>
      <c r="K36" s="91">
        <f t="shared" si="3"/>
        <v>26168905.450796001</v>
      </c>
      <c r="L36" s="91">
        <f t="shared" si="3"/>
        <v>26168905.450796001</v>
      </c>
      <c r="M36" s="91">
        <f t="shared" si="3"/>
        <v>26168905.450796001</v>
      </c>
      <c r="N36" s="739">
        <f t="shared" si="3"/>
        <v>26168905.451603964</v>
      </c>
      <c r="O36" s="93">
        <f t="shared" si="3"/>
        <v>314026865.41035998</v>
      </c>
      <c r="P36" s="91">
        <f t="shared" si="3"/>
        <v>331253378.21108162</v>
      </c>
      <c r="Q36" s="92">
        <f t="shared" si="3"/>
        <v>352012139.98232651</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-7198341.5249811001</v>
      </c>
      <c r="D38" s="91">
        <f t="shared" si="4"/>
        <v>-7198341.5249811001</v>
      </c>
      <c r="E38" s="91">
        <f t="shared" si="4"/>
        <v>-7198341.5249811001</v>
      </c>
      <c r="F38" s="91">
        <f t="shared" si="4"/>
        <v>-7198341.5249811001</v>
      </c>
      <c r="G38" s="91">
        <f t="shared" si="4"/>
        <v>-7198341.5249811001</v>
      </c>
      <c r="H38" s="91">
        <f t="shared" si="4"/>
        <v>-7198341.5249811001</v>
      </c>
      <c r="I38" s="91">
        <f t="shared" si="4"/>
        <v>-7198341.5249811001</v>
      </c>
      <c r="J38" s="91">
        <f t="shared" si="4"/>
        <v>-7198341.5249811001</v>
      </c>
      <c r="K38" s="91">
        <f t="shared" si="4"/>
        <v>-7198341.5249811001</v>
      </c>
      <c r="L38" s="91">
        <f t="shared" si="4"/>
        <v>-7198341.5249811001</v>
      </c>
      <c r="M38" s="91">
        <f t="shared" si="4"/>
        <v>-7198341.5249811001</v>
      </c>
      <c r="N38" s="739">
        <f t="shared" si="4"/>
        <v>-4993243.2722478509</v>
      </c>
      <c r="O38" s="93">
        <f t="shared" si="4"/>
        <v>-84175000.047039956</v>
      </c>
      <c r="P38" s="91">
        <f t="shared" si="4"/>
        <v>-86330840.836162418</v>
      </c>
      <c r="Q38" s="92">
        <f t="shared" si="4"/>
        <v>-92516409.924512148</v>
      </c>
    </row>
    <row r="39" spans="1:17" ht="11.25" customHeight="1" x14ac:dyDescent="0.25">
      <c r="A39" s="128" t="str">
        <f>'A4-FinPerf RE'!A39</f>
        <v>Transfers recognised - capital</v>
      </c>
      <c r="B39" s="737"/>
      <c r="C39" s="2107">
        <v>2659750</v>
      </c>
      <c r="D39" s="2107">
        <v>2659750</v>
      </c>
      <c r="E39" s="2107">
        <v>2659750</v>
      </c>
      <c r="F39" s="2107">
        <v>2659750</v>
      </c>
      <c r="G39" s="2107">
        <v>2659750</v>
      </c>
      <c r="H39" s="2107">
        <v>2659750</v>
      </c>
      <c r="I39" s="2107">
        <v>2659750</v>
      </c>
      <c r="J39" s="2107">
        <v>2659750</v>
      </c>
      <c r="K39" s="2107">
        <v>2659750</v>
      </c>
      <c r="L39" s="2107">
        <v>2659750</v>
      </c>
      <c r="M39" s="2107">
        <v>2659750</v>
      </c>
      <c r="N39" s="681">
        <f>O39-SUM(C39:M39)</f>
        <v>2659750</v>
      </c>
      <c r="O39" s="83">
        <f>'A4-FinPerf RE'!J39</f>
        <v>31917000</v>
      </c>
      <c r="P39" s="81">
        <f>'A4-FinPerf RE'!K39</f>
        <v>34179000</v>
      </c>
      <c r="Q39" s="82">
        <f>'A4-FinPerf RE'!L39</f>
        <v>36987000</v>
      </c>
    </row>
    <row r="40" spans="1:17" ht="11.25" customHeight="1" x14ac:dyDescent="0.25">
      <c r="A40" s="128" t="str">
        <f>'A4-FinPerf RE'!A40</f>
        <v>Contributions recognised - capital</v>
      </c>
      <c r="B40" s="737"/>
      <c r="C40" s="2107"/>
      <c r="D40" s="2088"/>
      <c r="E40" s="2088"/>
      <c r="F40" s="2088"/>
      <c r="G40" s="2088"/>
      <c r="H40" s="2088"/>
      <c r="I40" s="2088"/>
      <c r="J40" s="2088"/>
      <c r="K40" s="2088"/>
      <c r="L40" s="2088"/>
      <c r="M40" s="2088"/>
      <c r="N40" s="681">
        <f>O40-SUM(C40:M40)</f>
        <v>0</v>
      </c>
      <c r="O40" s="83">
        <f>'A4-FinPerf RE'!J40</f>
        <v>0</v>
      </c>
      <c r="P40" s="81">
        <f>'A4-FinPerf RE'!K40</f>
        <v>0</v>
      </c>
      <c r="Q40" s="82">
        <f>'A4-FinPerf RE'!L40</f>
        <v>0</v>
      </c>
    </row>
    <row r="41" spans="1:17" ht="11.25" customHeight="1" x14ac:dyDescent="0.25">
      <c r="A41" s="128" t="str">
        <f>'A4-FinPerf RE'!A41</f>
        <v>Contributed assets</v>
      </c>
      <c r="B41" s="737"/>
      <c r="C41" s="2107"/>
      <c r="D41" s="2088"/>
      <c r="E41" s="2088"/>
      <c r="F41" s="2088"/>
      <c r="G41" s="2088"/>
      <c r="H41" s="2088"/>
      <c r="I41" s="2088"/>
      <c r="J41" s="2088"/>
      <c r="K41" s="2088"/>
      <c r="L41" s="2088"/>
      <c r="M41" s="2088"/>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-4538591.5249811001</v>
      </c>
      <c r="D42" s="746">
        <f t="shared" si="5"/>
        <v>-4538591.5249811001</v>
      </c>
      <c r="E42" s="746">
        <f t="shared" si="5"/>
        <v>-4538591.5249811001</v>
      </c>
      <c r="F42" s="746">
        <f t="shared" si="5"/>
        <v>-4538591.5249811001</v>
      </c>
      <c r="G42" s="746">
        <f t="shared" si="5"/>
        <v>-4538591.5249811001</v>
      </c>
      <c r="H42" s="746">
        <f t="shared" si="5"/>
        <v>-4538591.5249811001</v>
      </c>
      <c r="I42" s="746">
        <f t="shared" si="5"/>
        <v>-4538591.5249811001</v>
      </c>
      <c r="J42" s="746">
        <f t="shared" si="5"/>
        <v>-4538591.5249811001</v>
      </c>
      <c r="K42" s="746">
        <f t="shared" si="5"/>
        <v>-4538591.5249811001</v>
      </c>
      <c r="L42" s="746">
        <f t="shared" si="5"/>
        <v>-4538591.5249811001</v>
      </c>
      <c r="M42" s="746">
        <f t="shared" si="5"/>
        <v>-4538591.5249811001</v>
      </c>
      <c r="N42" s="747">
        <f t="shared" si="5"/>
        <v>-2333493.2722478509</v>
      </c>
      <c r="O42" s="745">
        <f>O38+SUM(O39:O41)</f>
        <v>-52258000.047039956</v>
      </c>
      <c r="P42" s="746">
        <f>P38+SUM(P39:P41)</f>
        <v>-52151840.836162418</v>
      </c>
      <c r="Q42" s="748">
        <f>Q38+SUM(Q39:Q41)</f>
        <v>-55529409.924512148</v>
      </c>
    </row>
    <row r="43" spans="1:17" ht="11.25" customHeight="1" x14ac:dyDescent="0.25">
      <c r="A43" s="128" t="str">
        <f>'A4-FinPerf RE'!A43</f>
        <v>Taxation</v>
      </c>
      <c r="B43" s="737"/>
      <c r="C43" s="2107"/>
      <c r="D43" s="2088"/>
      <c r="E43" s="2088"/>
      <c r="F43" s="2088"/>
      <c r="G43" s="2088"/>
      <c r="H43" s="2088"/>
      <c r="I43" s="2088"/>
      <c r="J43" s="2088"/>
      <c r="K43" s="2088"/>
      <c r="L43" s="2088"/>
      <c r="M43" s="2088"/>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2107"/>
      <c r="D44" s="2088"/>
      <c r="E44" s="2088"/>
      <c r="F44" s="2088"/>
      <c r="G44" s="2088"/>
      <c r="H44" s="2088"/>
      <c r="I44" s="2088"/>
      <c r="J44" s="2088"/>
      <c r="K44" s="2088"/>
      <c r="L44" s="2088"/>
      <c r="M44" s="2088"/>
      <c r="N44" s="681">
        <f>O44-SUM(C44:M44)</f>
        <v>0</v>
      </c>
      <c r="O44" s="83">
        <f>'A4-FinPerf RE'!J45</f>
        <v>0</v>
      </c>
      <c r="P44" s="81">
        <f>'A4-FinPerf RE'!K45</f>
        <v>0</v>
      </c>
      <c r="Q44" s="82">
        <f>'A4-FinPerf RE'!L45</f>
        <v>0</v>
      </c>
    </row>
    <row r="45" spans="1:17" x14ac:dyDescent="0.25">
      <c r="A45" s="401" t="str">
        <f>'A4-FinPerf RE'!A47</f>
        <v>Share of surplus/ (deficit) of associate</v>
      </c>
      <c r="B45" s="749"/>
      <c r="C45" s="2107"/>
      <c r="D45" s="2088"/>
      <c r="E45" s="2088"/>
      <c r="F45" s="2088"/>
      <c r="G45" s="2088"/>
      <c r="H45" s="2088"/>
      <c r="I45" s="2088"/>
      <c r="J45" s="2088"/>
      <c r="K45" s="2088"/>
      <c r="L45" s="2088"/>
      <c r="M45" s="2088"/>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-4538591.5249811001</v>
      </c>
      <c r="D46" s="105">
        <f t="shared" si="6"/>
        <v>-4538591.5249811001</v>
      </c>
      <c r="E46" s="105">
        <f t="shared" si="6"/>
        <v>-4538591.5249811001</v>
      </c>
      <c r="F46" s="105">
        <f t="shared" si="6"/>
        <v>-4538591.5249811001</v>
      </c>
      <c r="G46" s="105">
        <f t="shared" si="6"/>
        <v>-4538591.5249811001</v>
      </c>
      <c r="H46" s="105">
        <f t="shared" si="6"/>
        <v>-4538591.5249811001</v>
      </c>
      <c r="I46" s="105">
        <f t="shared" si="6"/>
        <v>-4538591.5249811001</v>
      </c>
      <c r="J46" s="105">
        <f t="shared" si="6"/>
        <v>-4538591.5249811001</v>
      </c>
      <c r="K46" s="105">
        <f t="shared" si="6"/>
        <v>-4538591.5249811001</v>
      </c>
      <c r="L46" s="105">
        <f t="shared" si="6"/>
        <v>-4538591.5249811001</v>
      </c>
      <c r="M46" s="105">
        <f t="shared" si="6"/>
        <v>-4538591.5249811001</v>
      </c>
      <c r="N46" s="692">
        <f t="shared" si="6"/>
        <v>-2333493.2722478509</v>
      </c>
      <c r="O46" s="231">
        <f>O42+SUM(O43:O45)</f>
        <v>-52258000.047039956</v>
      </c>
      <c r="P46" s="105">
        <f>P42+SUM(P43:P45)</f>
        <v>-52151840.836162418</v>
      </c>
      <c r="Q46" s="230">
        <f>Q42+SUM(Q43:Q45)</f>
        <v>-55529409.924512148</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1532</v>
      </c>
    </row>
    <row r="49" spans="1:17" x14ac:dyDescent="0.25">
      <c r="A49" s="314" t="s">
        <v>1455</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2" activePane="bottomRight" state="frozen"/>
      <selection pane="topRight"/>
      <selection pane="bottomLeft"/>
      <selection pane="bottomRight" activeCell="D34" sqref="D34"/>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LIM471 Ephraim Mogale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1703</v>
      </c>
      <c r="P2" s="2651"/>
      <c r="Q2" s="2652"/>
    </row>
    <row r="3" spans="1:18" ht="25.5" x14ac:dyDescent="0.25">
      <c r="A3" s="865" t="s">
        <v>625</v>
      </c>
      <c r="B3" s="870"/>
      <c r="C3" s="177" t="s">
        <v>682</v>
      </c>
      <c r="D3" s="801" t="s">
        <v>1352</v>
      </c>
      <c r="E3" s="801" t="s">
        <v>1353</v>
      </c>
      <c r="F3" s="801" t="s">
        <v>1354</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EXECUTIVE AND COUNCIL</v>
      </c>
      <c r="B5" s="737"/>
      <c r="C5" s="2107">
        <v>690508.74</v>
      </c>
      <c r="D5" s="2107">
        <v>690508.74</v>
      </c>
      <c r="E5" s="2107">
        <v>690508.74</v>
      </c>
      <c r="F5" s="2107">
        <v>690508.74</v>
      </c>
      <c r="G5" s="2107">
        <v>690508.74</v>
      </c>
      <c r="H5" s="2107">
        <v>690508.74</v>
      </c>
      <c r="I5" s="2107">
        <v>690508.74</v>
      </c>
      <c r="J5" s="2107">
        <v>690508.74</v>
      </c>
      <c r="K5" s="2107">
        <v>690508.74</v>
      </c>
      <c r="L5" s="2107">
        <v>690508.74</v>
      </c>
      <c r="M5" s="2107">
        <v>690508.74</v>
      </c>
      <c r="N5" s="681">
        <f t="shared" ref="N5:N10" si="0">O5-SUM(C5:M5)</f>
        <v>690508.73999999836</v>
      </c>
      <c r="O5" s="84">
        <f>'A3-FinPerf V'!I5</f>
        <v>8286104.8799999999</v>
      </c>
      <c r="P5" s="81">
        <f>'A3-FinPerf V'!J5</f>
        <v>7382111.1699999999</v>
      </c>
      <c r="Q5" s="82">
        <f>'A3-FinPerf V'!K5</f>
        <v>7756537.8399999999</v>
      </c>
    </row>
    <row r="6" spans="1:18" ht="11.25" customHeight="1" x14ac:dyDescent="0.25">
      <c r="A6" s="1032" t="str">
        <f>'A3-FinPerf V'!A6</f>
        <v>Vote 2 - MUNICIPAL MANAGER</v>
      </c>
      <c r="B6" s="737"/>
      <c r="C6" s="2107"/>
      <c r="D6" s="2088"/>
      <c r="E6" s="2088"/>
      <c r="F6" s="2088"/>
      <c r="G6" s="2088"/>
      <c r="H6" s="2088"/>
      <c r="I6" s="2088"/>
      <c r="J6" s="2088"/>
      <c r="K6" s="2088"/>
      <c r="L6" s="2088"/>
      <c r="M6" s="2088"/>
      <c r="N6" s="681">
        <f t="shared" si="0"/>
        <v>750000</v>
      </c>
      <c r="O6" s="84">
        <f>'A3-FinPerf V'!I6</f>
        <v>750000</v>
      </c>
      <c r="P6" s="85">
        <f>'A3-FinPerf V'!J6</f>
        <v>788000</v>
      </c>
      <c r="Q6" s="142">
        <f>'A3-FinPerf V'!K6</f>
        <v>0</v>
      </c>
    </row>
    <row r="7" spans="1:18" ht="11.25" customHeight="1" x14ac:dyDescent="0.25">
      <c r="A7" s="1032" t="str">
        <f>'A3-FinPerf V'!A7</f>
        <v>Vote 3 - FINANCE</v>
      </c>
      <c r="B7" s="737"/>
      <c r="C7" s="2107">
        <v>12299386.698000001</v>
      </c>
      <c r="D7" s="2107">
        <v>12299386.698000001</v>
      </c>
      <c r="E7" s="2107">
        <v>12299386.698000001</v>
      </c>
      <c r="F7" s="2107">
        <v>12299386.698000001</v>
      </c>
      <c r="G7" s="2107">
        <v>12299386.698000001</v>
      </c>
      <c r="H7" s="2107">
        <v>12299386.698000001</v>
      </c>
      <c r="I7" s="2107">
        <v>12299386.698000001</v>
      </c>
      <c r="J7" s="2107">
        <v>12299386.698000001</v>
      </c>
      <c r="K7" s="2107">
        <v>12299386.698000001</v>
      </c>
      <c r="L7" s="2107">
        <v>12299386.698000001</v>
      </c>
      <c r="M7" s="2107">
        <v>12299386.698000001</v>
      </c>
      <c r="N7" s="681">
        <f t="shared" si="0"/>
        <v>12299386.701999992</v>
      </c>
      <c r="O7" s="84">
        <f>'A3-FinPerf V'!I7</f>
        <v>147592640.38</v>
      </c>
      <c r="P7" s="85">
        <f>'A3-FinPerf V'!J7</f>
        <v>159135918.80000001</v>
      </c>
      <c r="Q7" s="142">
        <f>'A3-FinPerf V'!K7</f>
        <v>169465693.93000001</v>
      </c>
    </row>
    <row r="8" spans="1:18" ht="11.25" customHeight="1" x14ac:dyDescent="0.25">
      <c r="A8" s="1032" t="str">
        <f>'A3-FinPerf V'!A8</f>
        <v>Vote 4 - CORPORATE SERVICES MANAGEMENT</v>
      </c>
      <c r="B8" s="737"/>
      <c r="C8" s="2107"/>
      <c r="D8" s="2088"/>
      <c r="E8" s="2088"/>
      <c r="F8" s="2088"/>
      <c r="G8" s="2088"/>
      <c r="H8" s="2088"/>
      <c r="I8" s="2088"/>
      <c r="J8" s="2088"/>
      <c r="K8" s="2088"/>
      <c r="L8" s="2088"/>
      <c r="M8" s="2088"/>
      <c r="N8" s="681">
        <f t="shared" si="0"/>
        <v>0</v>
      </c>
      <c r="O8" s="84">
        <f>'A3-FinPerf V'!I8</f>
        <v>0</v>
      </c>
      <c r="P8" s="85">
        <f>'A3-FinPerf V'!J8</f>
        <v>0</v>
      </c>
      <c r="Q8" s="142">
        <f>'A3-FinPerf V'!K8</f>
        <v>0</v>
      </c>
    </row>
    <row r="9" spans="1:18" ht="11.25" customHeight="1" x14ac:dyDescent="0.25">
      <c r="A9" s="1032" t="str">
        <f>'A3-FinPerf V'!A9</f>
        <v>Vote 5 - COMMUNITY SERVICES MANAGEMENT</v>
      </c>
      <c r="B9" s="737"/>
      <c r="C9" s="2107">
        <v>1364017.2593100001</v>
      </c>
      <c r="D9" s="2107">
        <v>1364017.2593100001</v>
      </c>
      <c r="E9" s="2107">
        <v>1364017.2593100001</v>
      </c>
      <c r="F9" s="2107">
        <v>1364017.2593100001</v>
      </c>
      <c r="G9" s="2107">
        <v>1364017.2593100001</v>
      </c>
      <c r="H9" s="2107">
        <v>1364017.2593100001</v>
      </c>
      <c r="I9" s="2107">
        <v>1364017.2593100001</v>
      </c>
      <c r="J9" s="2107">
        <v>1364017.2593100001</v>
      </c>
      <c r="K9" s="2107">
        <v>1364017.2593100001</v>
      </c>
      <c r="L9" s="2107">
        <v>1364017.2593100001</v>
      </c>
      <c r="M9" s="2107">
        <v>1364017.2593100001</v>
      </c>
      <c r="N9" s="681">
        <f t="shared" si="0"/>
        <v>1364231.3475900013</v>
      </c>
      <c r="O9" s="84">
        <f>'A3-FinPerf V'!I9</f>
        <v>16368421.199999999</v>
      </c>
      <c r="P9" s="85">
        <f>'A3-FinPerf V'!J9</f>
        <v>17350526.479999997</v>
      </c>
      <c r="Q9" s="142">
        <f>'A3-FinPerf V'!K9</f>
        <v>18391558.059999999</v>
      </c>
    </row>
    <row r="10" spans="1:18" ht="11.25" customHeight="1" x14ac:dyDescent="0.25">
      <c r="A10" s="1032" t="str">
        <f>'A3-FinPerf V'!A10</f>
        <v>Vote 6 - TECHNICAL SERVICES</v>
      </c>
      <c r="B10" s="737"/>
      <c r="C10" s="2107">
        <v>7375584.0884999996</v>
      </c>
      <c r="D10" s="2107">
        <v>7375584.0884999996</v>
      </c>
      <c r="E10" s="2107">
        <v>7375584.0884999996</v>
      </c>
      <c r="F10" s="2107">
        <v>7375584.0884999996</v>
      </c>
      <c r="G10" s="2107">
        <v>7375584.0884999996</v>
      </c>
      <c r="H10" s="2107">
        <v>7375584.0884999996</v>
      </c>
      <c r="I10" s="2107">
        <v>7375584.0884999996</v>
      </c>
      <c r="J10" s="2107">
        <v>7375584.0884999996</v>
      </c>
      <c r="K10" s="2107">
        <v>7375584.0884999996</v>
      </c>
      <c r="L10" s="2107">
        <v>7375584.0884999996</v>
      </c>
      <c r="M10" s="2107">
        <v>7375584.0884999996</v>
      </c>
      <c r="N10" s="681">
        <f t="shared" si="0"/>
        <v>7640273.9865000099</v>
      </c>
      <c r="O10" s="84">
        <f>'A3-FinPerf V'!I10</f>
        <v>88771698.959999993</v>
      </c>
      <c r="P10" s="85">
        <f>'A3-FinPerf V'!J10</f>
        <v>94444980.890000001</v>
      </c>
      <c r="Q10" s="142">
        <f>'A3-FinPerf V'!K10</f>
        <v>100868939.75</v>
      </c>
    </row>
    <row r="11" spans="1:18" ht="11.25" customHeight="1" x14ac:dyDescent="0.25">
      <c r="A11" s="1032" t="str">
        <f>'A3-FinPerf V'!A11</f>
        <v xml:space="preserve">Vote 7 - </v>
      </c>
      <c r="B11" s="737"/>
      <c r="C11" s="2107"/>
      <c r="D11" s="2088"/>
      <c r="E11" s="2088"/>
      <c r="F11" s="2088"/>
      <c r="G11" s="2088"/>
      <c r="H11" s="2088"/>
      <c r="I11" s="2088"/>
      <c r="J11" s="2088"/>
      <c r="K11" s="2088"/>
      <c r="L11" s="2088"/>
      <c r="M11" s="2088"/>
      <c r="N11" s="681">
        <f>O11-SUM(C11:M11)</f>
        <v>0</v>
      </c>
      <c r="O11" s="84">
        <f>'A3-FinPerf V'!I11</f>
        <v>0</v>
      </c>
      <c r="P11" s="85">
        <f>'A3-FinPerf V'!J11</f>
        <v>0</v>
      </c>
      <c r="Q11" s="142">
        <f>'A3-FinPerf V'!K11</f>
        <v>0</v>
      </c>
    </row>
    <row r="12" spans="1:18" ht="11.25" customHeight="1" x14ac:dyDescent="0.25">
      <c r="A12" s="1032" t="str">
        <f>'A3-FinPerf V'!A12</f>
        <v>Vote 8 - [NAME OF VOTE 8]</v>
      </c>
      <c r="B12" s="737"/>
      <c r="C12" s="2107">
        <v>84575.3321</v>
      </c>
      <c r="D12" s="2107">
        <v>84575.3321</v>
      </c>
      <c r="E12" s="2107">
        <v>84575.3321</v>
      </c>
      <c r="F12" s="2107">
        <v>84575.3321</v>
      </c>
      <c r="G12" s="2107">
        <v>84575.3321</v>
      </c>
      <c r="H12" s="2107">
        <v>84575.3321</v>
      </c>
      <c r="I12" s="2107">
        <v>84575.3321</v>
      </c>
      <c r="J12" s="2107">
        <v>84575.3321</v>
      </c>
      <c r="K12" s="2107">
        <v>84575.3321</v>
      </c>
      <c r="L12" s="2107">
        <v>84575.3321</v>
      </c>
      <c r="M12" s="2107">
        <v>84575.3321</v>
      </c>
      <c r="N12" s="681">
        <f>O12-SUM(C12:M12)</f>
        <v>-930328.6531</v>
      </c>
      <c r="O12" s="84">
        <f>'A3-FinPerf V'!I12</f>
        <v>0</v>
      </c>
      <c r="P12" s="85">
        <f>'A3-FinPerf V'!J12</f>
        <v>0</v>
      </c>
      <c r="Q12" s="142">
        <f>'A3-FinPerf V'!K12</f>
        <v>0</v>
      </c>
    </row>
    <row r="13" spans="1:18" ht="11.25" customHeight="1" x14ac:dyDescent="0.25">
      <c r="A13" s="1032" t="str">
        <f>'A3-FinPerf V'!A13</f>
        <v>Vote 9 - [NAME OF VOTE 9]</v>
      </c>
      <c r="B13" s="737"/>
      <c r="C13" s="2107"/>
      <c r="D13" s="2088"/>
      <c r="E13" s="2088"/>
      <c r="F13" s="2088"/>
      <c r="G13" s="2088"/>
      <c r="H13" s="2088"/>
      <c r="I13" s="2088"/>
      <c r="J13" s="2088"/>
      <c r="K13" s="2088"/>
      <c r="L13" s="2088"/>
      <c r="M13" s="2088"/>
      <c r="N13" s="681">
        <f>O13-SUM(C13:M13)</f>
        <v>0</v>
      </c>
      <c r="O13" s="84">
        <f>'A3-FinPerf V'!I13</f>
        <v>0</v>
      </c>
      <c r="P13" s="85">
        <f>'A3-FinPerf V'!J13</f>
        <v>0</v>
      </c>
      <c r="Q13" s="142">
        <f>'A3-FinPerf V'!K13</f>
        <v>0</v>
      </c>
      <c r="R13" s="247"/>
    </row>
    <row r="14" spans="1:18" ht="11.25" customHeight="1" x14ac:dyDescent="0.25">
      <c r="A14" s="1032" t="str">
        <f>'A3-FinPerf V'!A14</f>
        <v>Vote 10 - [NAME OF VOTE 10]</v>
      </c>
      <c r="B14" s="737"/>
      <c r="C14" s="2107"/>
      <c r="D14" s="2088"/>
      <c r="E14" s="2088"/>
      <c r="F14" s="2088"/>
      <c r="G14" s="2088"/>
      <c r="H14" s="2088"/>
      <c r="I14" s="2088"/>
      <c r="J14" s="2088"/>
      <c r="K14" s="2088"/>
      <c r="L14" s="2088"/>
      <c r="M14" s="2088"/>
      <c r="N14" s="681">
        <f t="shared" ref="N14:N19" si="1">O14-SUM(C14:M14)</f>
        <v>0</v>
      </c>
      <c r="O14" s="84">
        <f>'A3-FinPerf V'!I14</f>
        <v>0</v>
      </c>
      <c r="P14" s="85">
        <f>'A3-FinPerf V'!J14</f>
        <v>0</v>
      </c>
      <c r="Q14" s="142">
        <f>'A3-FinPerf V'!K14</f>
        <v>0</v>
      </c>
      <c r="R14" s="247"/>
    </row>
    <row r="15" spans="1:18" ht="11.25" customHeight="1" x14ac:dyDescent="0.25">
      <c r="A15" s="1032" t="str">
        <f>'A3-FinPerf V'!A15</f>
        <v>Vote 11 - [NAME OF VOTE 11]</v>
      </c>
      <c r="B15" s="737"/>
      <c r="C15" s="2107"/>
      <c r="D15" s="2088"/>
      <c r="E15" s="2088"/>
      <c r="F15" s="2088"/>
      <c r="G15" s="2088"/>
      <c r="H15" s="2088"/>
      <c r="I15" s="2088"/>
      <c r="J15" s="2088"/>
      <c r="K15" s="2088"/>
      <c r="L15" s="2088"/>
      <c r="M15" s="2088"/>
      <c r="N15" s="681">
        <f t="shared" si="1"/>
        <v>0</v>
      </c>
      <c r="O15" s="84">
        <f>'A3-FinPerf V'!I15</f>
        <v>0</v>
      </c>
      <c r="P15" s="85">
        <f>'A3-FinPerf V'!J15</f>
        <v>0</v>
      </c>
      <c r="Q15" s="142">
        <f>'A3-FinPerf V'!K15</f>
        <v>0</v>
      </c>
      <c r="R15" s="247"/>
    </row>
    <row r="16" spans="1:18" ht="11.25" customHeight="1" x14ac:dyDescent="0.25">
      <c r="A16" s="1032" t="str">
        <f>'A3-FinPerf V'!A16</f>
        <v>Vote 12 - [NAME OF VOTE 12]</v>
      </c>
      <c r="B16" s="737"/>
      <c r="C16" s="2107"/>
      <c r="D16" s="2088"/>
      <c r="E16" s="2088"/>
      <c r="F16" s="2088"/>
      <c r="G16" s="2088"/>
      <c r="H16" s="2088"/>
      <c r="I16" s="2088"/>
      <c r="J16" s="2088"/>
      <c r="K16" s="2088"/>
      <c r="L16" s="2088"/>
      <c r="M16" s="2088"/>
      <c r="N16" s="681">
        <f t="shared" si="1"/>
        <v>0</v>
      </c>
      <c r="O16" s="84">
        <f>'A3-FinPerf V'!I16</f>
        <v>0</v>
      </c>
      <c r="P16" s="85">
        <f>'A3-FinPerf V'!J16</f>
        <v>0</v>
      </c>
      <c r="Q16" s="142">
        <f>'A3-FinPerf V'!K16</f>
        <v>0</v>
      </c>
      <c r="R16" s="247"/>
    </row>
    <row r="17" spans="1:18" ht="11.25" customHeight="1" x14ac:dyDescent="0.25">
      <c r="A17" s="1032" t="str">
        <f>'A3-FinPerf V'!A17</f>
        <v>Vote 13 - [NAME OF VOTE 13]</v>
      </c>
      <c r="B17" s="737"/>
      <c r="C17" s="2107"/>
      <c r="D17" s="2088"/>
      <c r="E17" s="2088"/>
      <c r="F17" s="2088"/>
      <c r="G17" s="2088"/>
      <c r="H17" s="2088"/>
      <c r="I17" s="2088"/>
      <c r="J17" s="2088"/>
      <c r="K17" s="2088"/>
      <c r="L17" s="2088"/>
      <c r="M17" s="2088"/>
      <c r="N17" s="681">
        <f t="shared" si="1"/>
        <v>0</v>
      </c>
      <c r="O17" s="84">
        <f>'A3-FinPerf V'!I17</f>
        <v>0</v>
      </c>
      <c r="P17" s="85">
        <f>'A3-FinPerf V'!J17</f>
        <v>0</v>
      </c>
      <c r="Q17" s="142">
        <f>'A3-FinPerf V'!K17</f>
        <v>0</v>
      </c>
      <c r="R17" s="247"/>
    </row>
    <row r="18" spans="1:18" ht="11.25" customHeight="1" x14ac:dyDescent="0.25">
      <c r="A18" s="1032" t="str">
        <f>'A3-FinPerf V'!A18</f>
        <v>Vote 14 - [NAME OF VOTE 14]</v>
      </c>
      <c r="B18" s="737"/>
      <c r="C18" s="2107"/>
      <c r="D18" s="2088"/>
      <c r="E18" s="2088"/>
      <c r="F18" s="2088"/>
      <c r="G18" s="2088"/>
      <c r="H18" s="2088"/>
      <c r="I18" s="2088"/>
      <c r="J18" s="2088"/>
      <c r="K18" s="2088"/>
      <c r="L18" s="2088"/>
      <c r="M18" s="2088"/>
      <c r="N18" s="681">
        <f t="shared" si="1"/>
        <v>0</v>
      </c>
      <c r="O18" s="84">
        <f>'A3-FinPerf V'!I18</f>
        <v>0</v>
      </c>
      <c r="P18" s="85">
        <f>'A3-FinPerf V'!J18</f>
        <v>0</v>
      </c>
      <c r="Q18" s="142">
        <f>'A3-FinPerf V'!K18</f>
        <v>0</v>
      </c>
      <c r="R18" s="247"/>
    </row>
    <row r="19" spans="1:18" ht="11.25" customHeight="1" x14ac:dyDescent="0.25">
      <c r="A19" s="1032" t="str">
        <f>'A3-FinPerf V'!A19</f>
        <v>Vote 15 - [NAME OF VOTE 15]</v>
      </c>
      <c r="B19" s="737"/>
      <c r="C19" s="2107"/>
      <c r="D19" s="2088"/>
      <c r="E19" s="2088"/>
      <c r="F19" s="2088"/>
      <c r="G19" s="2088"/>
      <c r="H19" s="2088"/>
      <c r="I19" s="2088"/>
      <c r="J19" s="2088"/>
      <c r="K19" s="2088"/>
      <c r="L19" s="2088"/>
      <c r="M19" s="2088"/>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21814072.117910001</v>
      </c>
      <c r="D20" s="91">
        <f t="shared" si="2"/>
        <v>21814072.117910001</v>
      </c>
      <c r="E20" s="91">
        <f t="shared" si="2"/>
        <v>21814072.117910001</v>
      </c>
      <c r="F20" s="91">
        <f>SUM(F5:F19)</f>
        <v>21814072.117910001</v>
      </c>
      <c r="G20" s="91">
        <f t="shared" si="2"/>
        <v>21814072.117910001</v>
      </c>
      <c r="H20" s="91">
        <f t="shared" si="2"/>
        <v>21814072.117910001</v>
      </c>
      <c r="I20" s="91">
        <f t="shared" si="2"/>
        <v>21814072.117910001</v>
      </c>
      <c r="J20" s="91">
        <f t="shared" si="2"/>
        <v>21814072.117910001</v>
      </c>
      <c r="K20" s="91">
        <f t="shared" si="2"/>
        <v>21814072.117910001</v>
      </c>
      <c r="L20" s="91">
        <f t="shared" si="2"/>
        <v>21814072.117910001</v>
      </c>
      <c r="M20" s="91">
        <f t="shared" si="2"/>
        <v>21814072.117910001</v>
      </c>
      <c r="N20" s="739">
        <f t="shared" si="2"/>
        <v>21814072.122990005</v>
      </c>
      <c r="O20" s="94">
        <f t="shared" si="2"/>
        <v>261768865.41999996</v>
      </c>
      <c r="P20" s="91">
        <f t="shared" si="2"/>
        <v>279101537.33999997</v>
      </c>
      <c r="Q20" s="92">
        <f t="shared" si="2"/>
        <v>296482729.58000004</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EXECUTIVE AND COUNCIL</v>
      </c>
      <c r="B23" s="737"/>
      <c r="C23" s="2107">
        <v>2424746.5916599999</v>
      </c>
      <c r="D23" s="2107">
        <v>2424746.5916599999</v>
      </c>
      <c r="E23" s="2107">
        <v>2424746.5916599999</v>
      </c>
      <c r="F23" s="2107">
        <v>2424746.5916599999</v>
      </c>
      <c r="G23" s="2107">
        <v>2424746.5916599999</v>
      </c>
      <c r="H23" s="2107">
        <v>2424746.5916599999</v>
      </c>
      <c r="I23" s="2107">
        <v>2424746.5916599999</v>
      </c>
      <c r="J23" s="2107">
        <v>2424746.5916599999</v>
      </c>
      <c r="K23" s="2107">
        <v>2424746.5916599999</v>
      </c>
      <c r="L23" s="2107">
        <v>2424746.5916599999</v>
      </c>
      <c r="M23" s="2107">
        <v>2424746.5916599999</v>
      </c>
      <c r="N23" s="681">
        <f t="shared" ref="N23:N29" si="4">O23-SUM(C23:M23)</f>
        <v>2424746.591740001</v>
      </c>
      <c r="O23" s="84">
        <f>'A3-FinPerf V'!I23</f>
        <v>29096959.100000001</v>
      </c>
      <c r="P23" s="81">
        <f>'A3-FinPerf V'!J23</f>
        <v>28661296.645205427</v>
      </c>
      <c r="Q23" s="82">
        <f>'A3-FinPerf V'!K23</f>
        <v>30380974.443917748</v>
      </c>
      <c r="R23" s="247"/>
    </row>
    <row r="24" spans="1:18" ht="11.25" customHeight="1" x14ac:dyDescent="0.25">
      <c r="A24" s="128" t="str">
        <f t="shared" si="3"/>
        <v>Vote 2 - MUNICIPAL MANAGER</v>
      </c>
      <c r="B24" s="737"/>
      <c r="C24" s="2107">
        <v>367838.95750000002</v>
      </c>
      <c r="D24" s="2107">
        <v>367838.95750000002</v>
      </c>
      <c r="E24" s="2107">
        <v>367838.95750000002</v>
      </c>
      <c r="F24" s="2107">
        <v>367838.95750000002</v>
      </c>
      <c r="G24" s="2107">
        <v>367838.95750000002</v>
      </c>
      <c r="H24" s="2107">
        <v>367838.95750000002</v>
      </c>
      <c r="I24" s="2107">
        <v>367838.95750000002</v>
      </c>
      <c r="J24" s="2107">
        <v>367838.95750000002</v>
      </c>
      <c r="K24" s="2107">
        <v>367838.95750000002</v>
      </c>
      <c r="L24" s="2107">
        <v>367838.95750000002</v>
      </c>
      <c r="M24" s="2107">
        <v>367838.95750000002</v>
      </c>
      <c r="N24" s="681">
        <f t="shared" si="4"/>
        <v>367838.94750000024</v>
      </c>
      <c r="O24" s="84">
        <f>'A3-FinPerf V'!I24</f>
        <v>4414067.4800000004</v>
      </c>
      <c r="P24" s="81">
        <f>'A3-FinPerf V'!J24</f>
        <v>4678911.5303726271</v>
      </c>
      <c r="Q24" s="82">
        <f>'A3-FinPerf V'!K24</f>
        <v>4959646.2221949855</v>
      </c>
      <c r="R24" s="247"/>
    </row>
    <row r="25" spans="1:18" ht="11.25" customHeight="1" x14ac:dyDescent="0.25">
      <c r="A25" s="128" t="str">
        <f t="shared" si="3"/>
        <v>Vote 3 - FINANCE</v>
      </c>
      <c r="B25" s="737"/>
      <c r="C25" s="2107">
        <v>7299869.77666</v>
      </c>
      <c r="D25" s="2107">
        <v>7299869.77666</v>
      </c>
      <c r="E25" s="2107">
        <v>7299869.77666</v>
      </c>
      <c r="F25" s="2107">
        <v>7299869.77666</v>
      </c>
      <c r="G25" s="2107">
        <v>7299869.77666</v>
      </c>
      <c r="H25" s="2107">
        <v>7299869.77666</v>
      </c>
      <c r="I25" s="2107">
        <v>7299869.77666</v>
      </c>
      <c r="J25" s="2107">
        <v>7299869.77666</v>
      </c>
      <c r="K25" s="2107">
        <v>7299869.77666</v>
      </c>
      <c r="L25" s="2107">
        <v>7299869.77666</v>
      </c>
      <c r="M25" s="2107">
        <v>7299869.77666</v>
      </c>
      <c r="N25" s="681">
        <f t="shared" si="4"/>
        <v>7299869.7667399943</v>
      </c>
      <c r="O25" s="84">
        <f>'A3-FinPerf V'!I25</f>
        <v>87598437.310000002</v>
      </c>
      <c r="P25" s="81">
        <f>'A3-FinPerf V'!J25</f>
        <v>93080743.546974674</v>
      </c>
      <c r="Q25" s="82">
        <f>'A3-FinPerf V'!K25</f>
        <v>98791888.159793183</v>
      </c>
      <c r="R25" s="247"/>
    </row>
    <row r="26" spans="1:18" ht="11.25" customHeight="1" x14ac:dyDescent="0.25">
      <c r="A26" s="128" t="str">
        <f t="shared" si="3"/>
        <v>Vote 4 - CORPORATE SERVICES MANAGEMENT</v>
      </c>
      <c r="B26" s="737"/>
      <c r="C26" s="2107">
        <v>2152997.9525000001</v>
      </c>
      <c r="D26" s="2107">
        <v>2152997.9525000001</v>
      </c>
      <c r="E26" s="2107">
        <v>2152997.9525000001</v>
      </c>
      <c r="F26" s="2107">
        <v>2152997.9525000001</v>
      </c>
      <c r="G26" s="2107">
        <v>2152997.9525000001</v>
      </c>
      <c r="H26" s="2107">
        <v>2152997.9525000001</v>
      </c>
      <c r="I26" s="2107">
        <v>2152997.9525000001</v>
      </c>
      <c r="J26" s="2107">
        <v>2152997.9525000001</v>
      </c>
      <c r="K26" s="2107">
        <v>2152997.9525000001</v>
      </c>
      <c r="L26" s="2107">
        <v>2152997.9525000001</v>
      </c>
      <c r="M26" s="2107">
        <v>2152997.9525000001</v>
      </c>
      <c r="N26" s="681">
        <f t="shared" si="4"/>
        <v>2152997.9524999969</v>
      </c>
      <c r="O26" s="84">
        <f>'A3-FinPerf V'!I26</f>
        <v>25835975.43</v>
      </c>
      <c r="P26" s="81">
        <f>'A3-FinPerf V'!J26</f>
        <v>27386133.953722905</v>
      </c>
      <c r="Q26" s="82">
        <f>'A3-FinPerf V'!K26</f>
        <v>29029301.990946282</v>
      </c>
      <c r="R26" s="247"/>
    </row>
    <row r="27" spans="1:18" ht="11.25" customHeight="1" x14ac:dyDescent="0.25">
      <c r="A27" s="128" t="str">
        <f t="shared" si="3"/>
        <v>Vote 5 - COMMUNITY SERVICES MANAGEMENT</v>
      </c>
      <c r="B27" s="737"/>
      <c r="C27" s="2107">
        <v>3864647.57333</v>
      </c>
      <c r="D27" s="2107">
        <v>3864647.57333</v>
      </c>
      <c r="E27" s="2107">
        <v>3864647.57333</v>
      </c>
      <c r="F27" s="2107">
        <v>3864647.57333</v>
      </c>
      <c r="G27" s="2107">
        <v>3864647.57333</v>
      </c>
      <c r="H27" s="2107">
        <v>3864647.57333</v>
      </c>
      <c r="I27" s="2107">
        <v>3864647.57333</v>
      </c>
      <c r="J27" s="2107">
        <v>3864647.57333</v>
      </c>
      <c r="K27" s="2107">
        <v>3864647.57333</v>
      </c>
      <c r="L27" s="2107">
        <v>3864647.57333</v>
      </c>
      <c r="M27" s="2107">
        <v>3864647.57333</v>
      </c>
      <c r="N27" s="681">
        <f t="shared" si="4"/>
        <v>3864647.5733700022</v>
      </c>
      <c r="O27" s="84">
        <f>'A3-FinPerf V'!I27</f>
        <v>46375770.880000003</v>
      </c>
      <c r="P27" s="81">
        <f>'A3-FinPerf V'!J27</f>
        <v>49158317.131525628</v>
      </c>
      <c r="Q27" s="82">
        <f>'A3-FinPerf V'!K27</f>
        <v>52107816.159417167</v>
      </c>
      <c r="R27" s="247"/>
    </row>
    <row r="28" spans="1:18" ht="11.25" customHeight="1" x14ac:dyDescent="0.25">
      <c r="A28" s="128" t="str">
        <f t="shared" si="3"/>
        <v>Vote 6 - TECHNICAL SERVICES</v>
      </c>
      <c r="B28" s="737"/>
      <c r="C28" s="2107">
        <v>9361565.1441600006</v>
      </c>
      <c r="D28" s="2107">
        <v>9361565.1441600006</v>
      </c>
      <c r="E28" s="2107">
        <v>9361565.1441600006</v>
      </c>
      <c r="F28" s="2107">
        <v>9361565.1441600006</v>
      </c>
      <c r="G28" s="2107">
        <v>9361565.1441600006</v>
      </c>
      <c r="H28" s="2107">
        <v>9361565.1441600006</v>
      </c>
      <c r="I28" s="2107">
        <v>9361565.1441600006</v>
      </c>
      <c r="J28" s="2107">
        <v>9361565.1441600006</v>
      </c>
      <c r="K28" s="2107">
        <v>9361565.1441600006</v>
      </c>
      <c r="L28" s="2107">
        <v>9361565.1441600006</v>
      </c>
      <c r="M28" s="2107">
        <v>9361565.1441600006</v>
      </c>
      <c r="N28" s="681">
        <f t="shared" si="4"/>
        <v>6884466.8842399865</v>
      </c>
      <c r="O28" s="84">
        <f>'A3-FinPerf V'!I28</f>
        <v>109861683.47</v>
      </c>
      <c r="P28" s="81">
        <f>'A3-FinPerf V'!J28</f>
        <v>116800364.47265112</v>
      </c>
      <c r="Q28" s="82">
        <f>'A3-FinPerf V'!K28</f>
        <v>124565646.34101018</v>
      </c>
      <c r="R28" s="247"/>
    </row>
    <row r="29" spans="1:18" ht="11.25" customHeight="1" x14ac:dyDescent="0.25">
      <c r="A29" s="128" t="str">
        <f t="shared" si="3"/>
        <v xml:space="preserve">Vote 7 - </v>
      </c>
      <c r="B29" s="737"/>
      <c r="C29" s="2107"/>
      <c r="D29" s="2088"/>
      <c r="E29" s="2088"/>
      <c r="F29" s="2088"/>
      <c r="G29" s="2088"/>
      <c r="H29" s="2088"/>
      <c r="I29" s="2088"/>
      <c r="J29" s="2088"/>
      <c r="K29" s="2088"/>
      <c r="L29" s="2088"/>
      <c r="M29" s="2088"/>
      <c r="N29" s="681">
        <f t="shared" si="4"/>
        <v>10843971.75393418</v>
      </c>
      <c r="O29" s="84">
        <f>'A3-FinPerf V'!I29</f>
        <v>10843971.75393418</v>
      </c>
      <c r="P29" s="81">
        <f>'A3-FinPerf V'!J29</f>
        <v>11487610.055847004</v>
      </c>
      <c r="Q29" s="82">
        <f>'A3-FinPerf V'!K29</f>
        <v>12176866.659197824</v>
      </c>
      <c r="R29" s="247"/>
    </row>
    <row r="30" spans="1:18" ht="11.25" customHeight="1" x14ac:dyDescent="0.25">
      <c r="A30" s="128" t="str">
        <f t="shared" si="3"/>
        <v>Vote 8 - [NAME OF VOTE 8]</v>
      </c>
      <c r="B30" s="737"/>
      <c r="C30" s="2107">
        <v>697239.45583300001</v>
      </c>
      <c r="D30" s="2107">
        <v>697239.45583300001</v>
      </c>
      <c r="E30" s="2107">
        <v>697239.45583300001</v>
      </c>
      <c r="F30" s="2107">
        <v>697239.45583300001</v>
      </c>
      <c r="G30" s="2107">
        <v>697239.45583300001</v>
      </c>
      <c r="H30" s="2107">
        <v>697239.45583300001</v>
      </c>
      <c r="I30" s="2107">
        <v>697239.45583300001</v>
      </c>
      <c r="J30" s="2107">
        <v>697239.45583300001</v>
      </c>
      <c r="K30" s="2107">
        <v>697239.45583300001</v>
      </c>
      <c r="L30" s="2107">
        <v>697239.45583300001</v>
      </c>
      <c r="M30" s="2107">
        <v>697239.45583300001</v>
      </c>
      <c r="N30" s="681">
        <f>O30-SUM(C30:M30)</f>
        <v>-7669634.0141630005</v>
      </c>
      <c r="O30" s="84">
        <f>'A3-FinPerf V'!I30</f>
        <v>0</v>
      </c>
      <c r="P30" s="81">
        <f>'A3-FinPerf V'!J30</f>
        <v>0</v>
      </c>
      <c r="Q30" s="82">
        <f>'A3-FinPerf V'!K30</f>
        <v>0</v>
      </c>
      <c r="R30" s="247"/>
    </row>
    <row r="31" spans="1:18" ht="11.25" customHeight="1" x14ac:dyDescent="0.25">
      <c r="A31" s="128" t="str">
        <f t="shared" si="3"/>
        <v>Vote 9 - [NAME OF VOTE 9]</v>
      </c>
      <c r="B31" s="737"/>
      <c r="C31" s="2107"/>
      <c r="D31" s="2088"/>
      <c r="E31" s="2088"/>
      <c r="F31" s="2088"/>
      <c r="G31" s="2088"/>
      <c r="H31" s="2088"/>
      <c r="I31" s="2088"/>
      <c r="J31" s="2088"/>
      <c r="K31" s="2088"/>
      <c r="L31" s="2088"/>
      <c r="M31" s="2088"/>
      <c r="N31" s="681">
        <f>O31-SUM(C31:M31)</f>
        <v>0</v>
      </c>
      <c r="O31" s="84">
        <f>'A3-FinPerf V'!I31</f>
        <v>0</v>
      </c>
      <c r="P31" s="81">
        <f>'A3-FinPerf V'!J31</f>
        <v>0</v>
      </c>
      <c r="Q31" s="82">
        <f>'A3-FinPerf V'!K31</f>
        <v>0</v>
      </c>
      <c r="R31" s="247"/>
    </row>
    <row r="32" spans="1:18" ht="11.25" customHeight="1" x14ac:dyDescent="0.25">
      <c r="A32" s="128" t="str">
        <f t="shared" ref="A32:A37" si="5">A14</f>
        <v>Vote 10 - [NAME OF VOTE 10]</v>
      </c>
      <c r="B32" s="737"/>
      <c r="C32" s="2107"/>
      <c r="D32" s="2088"/>
      <c r="E32" s="2088"/>
      <c r="F32" s="2088"/>
      <c r="G32" s="2088"/>
      <c r="H32" s="2088"/>
      <c r="I32" s="2088"/>
      <c r="J32" s="2088"/>
      <c r="K32" s="2088"/>
      <c r="L32" s="2088"/>
      <c r="M32" s="2088"/>
      <c r="N32" s="681">
        <f t="shared" ref="N32:N37" si="6">O32-SUM(C32:M32)</f>
        <v>0</v>
      </c>
      <c r="O32" s="84">
        <f>'A3-FinPerf V'!I32</f>
        <v>0</v>
      </c>
      <c r="P32" s="81">
        <f>'A3-FinPerf V'!J32</f>
        <v>0</v>
      </c>
      <c r="Q32" s="82">
        <f>'A3-FinPerf V'!K32</f>
        <v>0</v>
      </c>
      <c r="R32" s="247"/>
    </row>
    <row r="33" spans="1:18" ht="11.25" customHeight="1" x14ac:dyDescent="0.25">
      <c r="A33" s="128" t="str">
        <f t="shared" si="5"/>
        <v>Vote 11 - [NAME OF VOTE 11]</v>
      </c>
      <c r="B33" s="737"/>
      <c r="C33" s="2107"/>
      <c r="D33" s="2088"/>
      <c r="E33" s="2088"/>
      <c r="F33" s="2088"/>
      <c r="G33" s="2088"/>
      <c r="H33" s="2088"/>
      <c r="I33" s="2088"/>
      <c r="J33" s="2088"/>
      <c r="K33" s="2088"/>
      <c r="L33" s="2088"/>
      <c r="M33" s="2088"/>
      <c r="N33" s="681">
        <f t="shared" si="6"/>
        <v>0</v>
      </c>
      <c r="O33" s="84">
        <f>'A3-FinPerf V'!I33</f>
        <v>0</v>
      </c>
      <c r="P33" s="81">
        <f>'A3-FinPerf V'!J33</f>
        <v>0</v>
      </c>
      <c r="Q33" s="82">
        <f>'A3-FinPerf V'!K33</f>
        <v>0</v>
      </c>
      <c r="R33" s="247"/>
    </row>
    <row r="34" spans="1:18" ht="11.25" customHeight="1" x14ac:dyDescent="0.25">
      <c r="A34" s="128" t="str">
        <f t="shared" si="5"/>
        <v>Vote 12 - [NAME OF VOTE 12]</v>
      </c>
      <c r="B34" s="737"/>
      <c r="C34" s="2107"/>
      <c r="D34" s="2088"/>
      <c r="E34" s="2088"/>
      <c r="F34" s="2088"/>
      <c r="G34" s="2088"/>
      <c r="H34" s="2088"/>
      <c r="I34" s="2088"/>
      <c r="J34" s="2088"/>
      <c r="K34" s="2088"/>
      <c r="L34" s="2088"/>
      <c r="M34" s="2088"/>
      <c r="N34" s="681">
        <f t="shared" si="6"/>
        <v>0</v>
      </c>
      <c r="O34" s="84">
        <f>'A3-FinPerf V'!I34</f>
        <v>0</v>
      </c>
      <c r="P34" s="81">
        <f>'A3-FinPerf V'!J34</f>
        <v>0</v>
      </c>
      <c r="Q34" s="82">
        <f>'A3-FinPerf V'!K34</f>
        <v>0</v>
      </c>
      <c r="R34" s="247"/>
    </row>
    <row r="35" spans="1:18" ht="11.25" customHeight="1" x14ac:dyDescent="0.25">
      <c r="A35" s="128" t="str">
        <f t="shared" si="5"/>
        <v>Vote 13 - [NAME OF VOTE 13]</v>
      </c>
      <c r="B35" s="737"/>
      <c r="C35" s="2107"/>
      <c r="D35" s="2088"/>
      <c r="E35" s="2088"/>
      <c r="F35" s="2088"/>
      <c r="G35" s="2088"/>
      <c r="H35" s="2088"/>
      <c r="I35" s="2088"/>
      <c r="J35" s="2088"/>
      <c r="K35" s="2088"/>
      <c r="L35" s="2088"/>
      <c r="M35" s="2088"/>
      <c r="N35" s="681">
        <f t="shared" si="6"/>
        <v>0</v>
      </c>
      <c r="O35" s="84">
        <f>'A3-FinPerf V'!I35</f>
        <v>0</v>
      </c>
      <c r="P35" s="81">
        <f>'A3-FinPerf V'!J35</f>
        <v>0</v>
      </c>
      <c r="Q35" s="82">
        <f>'A3-FinPerf V'!K35</f>
        <v>0</v>
      </c>
      <c r="R35" s="247"/>
    </row>
    <row r="36" spans="1:18" ht="11.25" customHeight="1" x14ac:dyDescent="0.25">
      <c r="A36" s="128" t="str">
        <f t="shared" si="5"/>
        <v>Vote 14 - [NAME OF VOTE 14]</v>
      </c>
      <c r="B36" s="737"/>
      <c r="C36" s="2107"/>
      <c r="D36" s="2088"/>
      <c r="E36" s="2088"/>
      <c r="F36" s="2088"/>
      <c r="G36" s="2088"/>
      <c r="H36" s="2088"/>
      <c r="I36" s="2088"/>
      <c r="J36" s="2088"/>
      <c r="K36" s="2088"/>
      <c r="L36" s="2088"/>
      <c r="M36" s="2088"/>
      <c r="N36" s="681">
        <f t="shared" si="6"/>
        <v>0</v>
      </c>
      <c r="O36" s="84">
        <f>'A3-FinPerf V'!I36</f>
        <v>0</v>
      </c>
      <c r="P36" s="81">
        <f>'A3-FinPerf V'!J36</f>
        <v>0</v>
      </c>
      <c r="Q36" s="82">
        <f>'A3-FinPerf V'!K36</f>
        <v>0</v>
      </c>
      <c r="R36" s="247"/>
    </row>
    <row r="37" spans="1:18" ht="11.25" customHeight="1" x14ac:dyDescent="0.25">
      <c r="A37" s="128" t="str">
        <f t="shared" si="5"/>
        <v>Vote 15 - [NAME OF VOTE 15]</v>
      </c>
      <c r="B37" s="737"/>
      <c r="C37" s="2107"/>
      <c r="D37" s="2088"/>
      <c r="E37" s="2088"/>
      <c r="F37" s="2088"/>
      <c r="G37" s="2088"/>
      <c r="H37" s="2088"/>
      <c r="I37" s="2088"/>
      <c r="J37" s="2088"/>
      <c r="K37" s="2088"/>
      <c r="L37" s="2088"/>
      <c r="M37" s="2088"/>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26168905.451643001</v>
      </c>
      <c r="D38" s="91">
        <f t="shared" ref="D38:N38" si="7">SUM(D23:D37)</f>
        <v>26168905.451643001</v>
      </c>
      <c r="E38" s="91">
        <f t="shared" si="7"/>
        <v>26168905.451643001</v>
      </c>
      <c r="F38" s="91">
        <f t="shared" si="7"/>
        <v>26168905.451643001</v>
      </c>
      <c r="G38" s="91">
        <f t="shared" si="7"/>
        <v>26168905.451643001</v>
      </c>
      <c r="H38" s="91">
        <f t="shared" si="7"/>
        <v>26168905.451643001</v>
      </c>
      <c r="I38" s="91">
        <f t="shared" si="7"/>
        <v>26168905.451643001</v>
      </c>
      <c r="J38" s="91">
        <f t="shared" si="7"/>
        <v>26168905.451643001</v>
      </c>
      <c r="K38" s="91">
        <f t="shared" si="7"/>
        <v>26168905.451643001</v>
      </c>
      <c r="L38" s="91">
        <f t="shared" si="7"/>
        <v>26168905.451643001</v>
      </c>
      <c r="M38" s="91">
        <f t="shared" si="7"/>
        <v>26168905.451643001</v>
      </c>
      <c r="N38" s="739">
        <f t="shared" si="7"/>
        <v>26168905.455861159</v>
      </c>
      <c r="O38" s="94">
        <f>SUM(O23:O37)</f>
        <v>314026865.42393416</v>
      </c>
      <c r="P38" s="91">
        <f>SUM(P23:P37)</f>
        <v>331253377.33629936</v>
      </c>
      <c r="Q38" s="92">
        <f>SUM(Q23:Q37)</f>
        <v>352012139.97647738</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-4354833.3337329999</v>
      </c>
      <c r="D40" s="91">
        <f t="shared" si="8"/>
        <v>-4354833.3337329999</v>
      </c>
      <c r="E40" s="91">
        <f t="shared" si="8"/>
        <v>-4354833.3337329999</v>
      </c>
      <c r="F40" s="91">
        <f t="shared" si="8"/>
        <v>-4354833.3337329999</v>
      </c>
      <c r="G40" s="91">
        <f t="shared" si="8"/>
        <v>-4354833.3337329999</v>
      </c>
      <c r="H40" s="91">
        <f t="shared" si="8"/>
        <v>-4354833.3337329999</v>
      </c>
      <c r="I40" s="91">
        <f t="shared" si="8"/>
        <v>-4354833.3337329999</v>
      </c>
      <c r="J40" s="91">
        <f t="shared" si="8"/>
        <v>-4354833.3337329999</v>
      </c>
      <c r="K40" s="91">
        <f t="shared" si="8"/>
        <v>-4354833.3337329999</v>
      </c>
      <c r="L40" s="91">
        <f t="shared" si="8"/>
        <v>-4354833.3337329999</v>
      </c>
      <c r="M40" s="91">
        <f t="shared" si="8"/>
        <v>-4354833.3337329999</v>
      </c>
      <c r="N40" s="739">
        <f t="shared" si="8"/>
        <v>-4354833.332871154</v>
      </c>
      <c r="O40" s="94">
        <f t="shared" si="8"/>
        <v>-52258000.003934205</v>
      </c>
      <c r="P40" s="91">
        <f t="shared" si="8"/>
        <v>-52151839.996299386</v>
      </c>
      <c r="Q40" s="92">
        <f t="shared" si="8"/>
        <v>-55529410.396477342</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2107"/>
      <c r="D42" s="2088"/>
      <c r="E42" s="2088"/>
      <c r="F42" s="2088"/>
      <c r="G42" s="2088"/>
      <c r="H42" s="2088"/>
      <c r="I42" s="2088"/>
      <c r="J42" s="2088"/>
      <c r="K42" s="2088"/>
      <c r="L42" s="2088"/>
      <c r="M42" s="2088"/>
      <c r="N42" s="681">
        <f>O42-SUM(C42:M42)</f>
        <v>0</v>
      </c>
      <c r="O42" s="84">
        <f>'SA25'!O43</f>
        <v>0</v>
      </c>
      <c r="P42" s="81">
        <f>'SA25'!P43</f>
        <v>0</v>
      </c>
      <c r="Q42" s="82">
        <f>'SA25'!Q43</f>
        <v>0</v>
      </c>
    </row>
    <row r="43" spans="1:18" ht="11.25" customHeight="1" x14ac:dyDescent="0.25">
      <c r="A43" s="128" t="str">
        <f>'SA25'!A44</f>
        <v>Attributable to minorities</v>
      </c>
      <c r="B43" s="737"/>
      <c r="C43" s="2107"/>
      <c r="D43" s="2088"/>
      <c r="E43" s="2088"/>
      <c r="F43" s="2088"/>
      <c r="G43" s="2088"/>
      <c r="H43" s="2088"/>
      <c r="I43" s="2088"/>
      <c r="J43" s="2088"/>
      <c r="K43" s="2088"/>
      <c r="L43" s="2088"/>
      <c r="M43" s="2088"/>
      <c r="N43" s="681">
        <f>O43-SUM(C43:M43)</f>
        <v>0</v>
      </c>
      <c r="O43" s="84">
        <f>'SA25'!O44</f>
        <v>0</v>
      </c>
      <c r="P43" s="81">
        <f>'SA25'!P44</f>
        <v>0</v>
      </c>
      <c r="Q43" s="82">
        <f>'SA25'!Q44</f>
        <v>0</v>
      </c>
    </row>
    <row r="44" spans="1:18" x14ac:dyDescent="0.25">
      <c r="A44" s="401" t="str">
        <f>'A4-FinPerf RE'!A47</f>
        <v>Share of surplus/ (deficit) of associate</v>
      </c>
      <c r="B44" s="749"/>
      <c r="C44" s="2107"/>
      <c r="D44" s="2088"/>
      <c r="E44" s="2088"/>
      <c r="F44" s="2088"/>
      <c r="G44" s="2088"/>
      <c r="H44" s="2088"/>
      <c r="I44" s="2088"/>
      <c r="J44" s="2088"/>
      <c r="K44" s="2088"/>
      <c r="L44" s="2088"/>
      <c r="M44" s="2088"/>
      <c r="N44" s="681">
        <f>O44-SUM(C44:M44)</f>
        <v>0</v>
      </c>
      <c r="O44" s="84">
        <f>'A4-FinPerf RE'!J47</f>
        <v>0</v>
      </c>
      <c r="P44" s="81">
        <f>'A4-FinPerf RE'!K47</f>
        <v>0</v>
      </c>
      <c r="Q44" s="82">
        <f>'A4-FinPerf RE'!L47</f>
        <v>0</v>
      </c>
    </row>
    <row r="45" spans="1:18" x14ac:dyDescent="0.25">
      <c r="A45" s="722" t="str">
        <f>'A4-FinPerf RE'!A38</f>
        <v>Surplus/(Deficit)</v>
      </c>
      <c r="B45" s="750">
        <v>1</v>
      </c>
      <c r="C45" s="231">
        <f>C40+C44</f>
        <v>-4354833.3337329999</v>
      </c>
      <c r="D45" s="105">
        <f t="shared" ref="D45:Q45" si="9">D40+D44</f>
        <v>-4354833.3337329999</v>
      </c>
      <c r="E45" s="105">
        <f t="shared" si="9"/>
        <v>-4354833.3337329999</v>
      </c>
      <c r="F45" s="105">
        <f t="shared" si="9"/>
        <v>-4354833.3337329999</v>
      </c>
      <c r="G45" s="105">
        <f t="shared" si="9"/>
        <v>-4354833.3337329999</v>
      </c>
      <c r="H45" s="105">
        <f t="shared" si="9"/>
        <v>-4354833.3337329999</v>
      </c>
      <c r="I45" s="105">
        <f t="shared" si="9"/>
        <v>-4354833.3337329999</v>
      </c>
      <c r="J45" s="105">
        <f t="shared" si="9"/>
        <v>-4354833.3337329999</v>
      </c>
      <c r="K45" s="105">
        <f t="shared" si="9"/>
        <v>-4354833.3337329999</v>
      </c>
      <c r="L45" s="105">
        <f t="shared" si="9"/>
        <v>-4354833.3337329999</v>
      </c>
      <c r="M45" s="105">
        <f t="shared" si="9"/>
        <v>-4354833.3337329999</v>
      </c>
      <c r="N45" s="692">
        <f t="shared" si="9"/>
        <v>-4354833.332871154</v>
      </c>
      <c r="O45" s="232">
        <f t="shared" si="9"/>
        <v>-52258000.003934205</v>
      </c>
      <c r="P45" s="105">
        <f t="shared" si="9"/>
        <v>-52151839.996299386</v>
      </c>
      <c r="Q45" s="230">
        <f t="shared" si="9"/>
        <v>-55529410.396477342</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1532</v>
      </c>
    </row>
    <row r="48" spans="1:18" x14ac:dyDescent="0.25">
      <c r="A48" s="314" t="s">
        <v>1455</v>
      </c>
      <c r="B48" s="314"/>
      <c r="O48" s="752">
        <f>O45-'A4-FinPerf RE'!J48</f>
        <v>4.3105751276016235E-2</v>
      </c>
      <c r="P48" s="752">
        <f>P45-'A4-FinPerf RE'!K48</f>
        <v>0.83986303210258484</v>
      </c>
      <c r="Q48" s="752">
        <f>Q45-'A4-FinPerf RE'!L48</f>
        <v>-0.47196519374847412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4" activePane="bottomRight" state="frozen"/>
      <selection pane="topRight"/>
      <selection pane="bottomLeft"/>
      <selection pane="bottomRight" activeCell="A34" sqref="A34"/>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LIM471 Ephraim Mogale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1703</v>
      </c>
      <c r="P2" s="2651"/>
      <c r="Q2" s="2652"/>
    </row>
    <row r="3" spans="1:18" ht="25.5" x14ac:dyDescent="0.25">
      <c r="A3" s="865" t="s">
        <v>625</v>
      </c>
      <c r="B3" s="870"/>
      <c r="C3" s="177" t="s">
        <v>682</v>
      </c>
      <c r="D3" s="801" t="s">
        <v>1352</v>
      </c>
      <c r="E3" s="801" t="s">
        <v>1353</v>
      </c>
      <c r="F3" s="801" t="s">
        <v>1354</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12989895.438000001</v>
      </c>
      <c r="D5" s="990">
        <f>SUM(D6:D8)</f>
        <v>12989895.438000001</v>
      </c>
      <c r="E5" s="990">
        <f t="shared" ref="E5:M5" si="0">SUM(E6:E8)</f>
        <v>12989895.438000001</v>
      </c>
      <c r="F5" s="990">
        <f t="shared" si="0"/>
        <v>12989895.438000001</v>
      </c>
      <c r="G5" s="990">
        <f t="shared" si="0"/>
        <v>12989895.438000001</v>
      </c>
      <c r="H5" s="990">
        <f t="shared" si="0"/>
        <v>12989895.438000001</v>
      </c>
      <c r="I5" s="990">
        <f t="shared" si="0"/>
        <v>12989895.438000001</v>
      </c>
      <c r="J5" s="990">
        <f t="shared" si="0"/>
        <v>12989895.438000001</v>
      </c>
      <c r="K5" s="990">
        <f t="shared" si="0"/>
        <v>12989895.438000001</v>
      </c>
      <c r="L5" s="990">
        <f t="shared" si="0"/>
        <v>12989895.438000001</v>
      </c>
      <c r="M5" s="990">
        <f t="shared" si="0"/>
        <v>12989895.438000001</v>
      </c>
      <c r="N5" s="97">
        <f t="shared" ref="N5:N24" si="1">O5-SUM(C5:M5)</f>
        <v>12989895.442000002</v>
      </c>
      <c r="O5" s="98">
        <f>'A2-FinPerf SC'!I5</f>
        <v>155878745.25999999</v>
      </c>
      <c r="P5" s="96">
        <f>'A2-FinPerf SC'!J5</f>
        <v>166518029.97</v>
      </c>
      <c r="Q5" s="97">
        <f>'A2-FinPerf SC'!K5</f>
        <v>177222231.77000001</v>
      </c>
      <c r="R5" s="247"/>
    </row>
    <row r="6" spans="1:18" ht="11.25" customHeight="1" x14ac:dyDescent="0.25">
      <c r="A6" s="1129" t="str">
        <f>'A2-FinPerf SC'!A6</f>
        <v>Executive and council</v>
      </c>
      <c r="B6" s="737"/>
      <c r="C6" s="2107">
        <v>690508.74</v>
      </c>
      <c r="D6" s="2088">
        <v>690508.74</v>
      </c>
      <c r="E6" s="2088">
        <v>690508.74</v>
      </c>
      <c r="F6" s="2088">
        <v>690508.74</v>
      </c>
      <c r="G6" s="2088">
        <v>690508.74</v>
      </c>
      <c r="H6" s="2088">
        <v>690508.74</v>
      </c>
      <c r="I6" s="2088">
        <v>690508.74</v>
      </c>
      <c r="J6" s="2088">
        <v>690508.74</v>
      </c>
      <c r="K6" s="2088">
        <v>690508.74</v>
      </c>
      <c r="L6" s="2088">
        <v>690508.74</v>
      </c>
      <c r="M6" s="2088">
        <v>690508.74</v>
      </c>
      <c r="N6" s="82">
        <f t="shared" si="1"/>
        <v>690508.73999999836</v>
      </c>
      <c r="O6" s="83">
        <f>'A2-FinPerf SC'!I6</f>
        <v>8286104.8799999999</v>
      </c>
      <c r="P6" s="85">
        <f>'A2-FinPerf SC'!J6</f>
        <v>7382111.1699999999</v>
      </c>
      <c r="Q6" s="142">
        <f>'A2-FinPerf SC'!K6</f>
        <v>7756537.8399999999</v>
      </c>
      <c r="R6" s="247"/>
    </row>
    <row r="7" spans="1:18" ht="11.25" customHeight="1" x14ac:dyDescent="0.25">
      <c r="A7" s="1129" t="str">
        <f>'A2-FinPerf SC'!A7</f>
        <v>Budget and treasury office</v>
      </c>
      <c r="B7" s="737"/>
      <c r="C7" s="2114">
        <v>12299386.698000001</v>
      </c>
      <c r="D7" s="2110">
        <v>12299386.698000001</v>
      </c>
      <c r="E7" s="2110">
        <v>12299386.698000001</v>
      </c>
      <c r="F7" s="2110">
        <v>12299386.698000001</v>
      </c>
      <c r="G7" s="2110">
        <v>12299386.698000001</v>
      </c>
      <c r="H7" s="2110">
        <v>12299386.698000001</v>
      </c>
      <c r="I7" s="2110">
        <v>12299386.698000001</v>
      </c>
      <c r="J7" s="2110">
        <v>12299386.698000001</v>
      </c>
      <c r="K7" s="2110">
        <v>12299386.698000001</v>
      </c>
      <c r="L7" s="2110">
        <v>12299386.698000001</v>
      </c>
      <c r="M7" s="2110">
        <v>12299386.698000001</v>
      </c>
      <c r="N7" s="82">
        <f t="shared" si="1"/>
        <v>12299386.701999992</v>
      </c>
      <c r="O7" s="83">
        <f>'A2-FinPerf SC'!I7</f>
        <v>147592640.38</v>
      </c>
      <c r="P7" s="85">
        <f>'A2-FinPerf SC'!J7</f>
        <v>159135918.80000001</v>
      </c>
      <c r="Q7" s="142">
        <f>'A2-FinPerf SC'!K7</f>
        <v>169465693.93000001</v>
      </c>
      <c r="R7" s="247"/>
    </row>
    <row r="8" spans="1:18" ht="11.25" customHeight="1" x14ac:dyDescent="0.25">
      <c r="A8" s="1129" t="str">
        <f>'A2-FinPerf SC'!A8</f>
        <v>Corporate services</v>
      </c>
      <c r="B8" s="737"/>
      <c r="C8" s="2107"/>
      <c r="D8" s="2088"/>
      <c r="E8" s="2088"/>
      <c r="F8" s="2088"/>
      <c r="G8" s="2088"/>
      <c r="H8" s="2088"/>
      <c r="I8" s="2088"/>
      <c r="J8" s="2088"/>
      <c r="K8" s="2088"/>
      <c r="L8" s="2088"/>
      <c r="M8" s="2088"/>
      <c r="N8" s="82">
        <f t="shared" si="1"/>
        <v>0</v>
      </c>
      <c r="O8" s="83">
        <f>'A2-FinPerf SC'!I8</f>
        <v>0</v>
      </c>
      <c r="P8" s="85">
        <f>'A2-FinPerf SC'!J8</f>
        <v>0</v>
      </c>
      <c r="Q8" s="142">
        <f>'A2-FinPerf SC'!K8</f>
        <v>0</v>
      </c>
      <c r="R8" s="247"/>
    </row>
    <row r="9" spans="1:18" ht="11.25" customHeight="1" x14ac:dyDescent="0.25">
      <c r="A9" s="1128" t="str">
        <f>'A2-FinPerf SC'!A9</f>
        <v>Community and public safety</v>
      </c>
      <c r="B9" s="737"/>
      <c r="C9" s="992">
        <f>SUM(C10:C14)</f>
        <v>2873893.4508329998</v>
      </c>
      <c r="D9" s="990">
        <f t="shared" ref="D9:M9" si="2">SUM(D10:D14)</f>
        <v>2873893.4508329998</v>
      </c>
      <c r="E9" s="990">
        <f t="shared" si="2"/>
        <v>2873893.4508329998</v>
      </c>
      <c r="F9" s="990">
        <f t="shared" si="2"/>
        <v>2873893.4508329998</v>
      </c>
      <c r="G9" s="990">
        <f t="shared" si="2"/>
        <v>2873893.4508329998</v>
      </c>
      <c r="H9" s="990">
        <f t="shared" si="2"/>
        <v>2873893.4508329998</v>
      </c>
      <c r="I9" s="990">
        <f t="shared" si="2"/>
        <v>2873893.4508329998</v>
      </c>
      <c r="J9" s="990">
        <f t="shared" si="2"/>
        <v>2873893.4508329998</v>
      </c>
      <c r="K9" s="990">
        <f t="shared" si="2"/>
        <v>2873893.4508329998</v>
      </c>
      <c r="L9" s="990">
        <f t="shared" si="2"/>
        <v>2873893.4508329998</v>
      </c>
      <c r="M9" s="990">
        <f t="shared" si="2"/>
        <v>2873893.4508329998</v>
      </c>
      <c r="N9" s="97">
        <f t="shared" si="1"/>
        <v>-29043106.549162999</v>
      </c>
      <c r="O9" s="98">
        <f>'A2-FinPerf SC'!I9</f>
        <v>2569721.41</v>
      </c>
      <c r="P9" s="271">
        <f>'A2-FinPerf SC'!J9</f>
        <v>2723904.6799999997</v>
      </c>
      <c r="Q9" s="223">
        <f>'A2-FinPerf SC'!K9</f>
        <v>2887338.97</v>
      </c>
      <c r="R9" s="247"/>
    </row>
    <row r="10" spans="1:18" ht="11.25" customHeight="1" x14ac:dyDescent="0.25">
      <c r="A10" s="1129" t="str">
        <f>'A2-FinPerf SC'!A10</f>
        <v>Community and social services</v>
      </c>
      <c r="B10" s="737"/>
      <c r="C10" s="2107">
        <v>2473.4683329999998</v>
      </c>
      <c r="D10" s="2107">
        <v>2473.4683329999998</v>
      </c>
      <c r="E10" s="2107">
        <v>2473.4683329999998</v>
      </c>
      <c r="F10" s="2107">
        <v>2473.4683329999998</v>
      </c>
      <c r="G10" s="2107">
        <v>2473.4683329999998</v>
      </c>
      <c r="H10" s="2107">
        <v>2473.4683329999998</v>
      </c>
      <c r="I10" s="2107">
        <v>2473.4683329999998</v>
      </c>
      <c r="J10" s="2107">
        <v>2473.4683329999998</v>
      </c>
      <c r="K10" s="2107">
        <v>2473.4683329999998</v>
      </c>
      <c r="L10" s="2107">
        <v>2473.4683329999998</v>
      </c>
      <c r="M10" s="2107">
        <v>2473.4683329999998</v>
      </c>
      <c r="N10" s="82">
        <f t="shared" si="1"/>
        <v>2473.4683369999948</v>
      </c>
      <c r="O10" s="83">
        <f>'A2-FinPerf SC'!I10</f>
        <v>29681.62</v>
      </c>
      <c r="P10" s="85">
        <f>'A2-FinPerf SC'!J10</f>
        <v>31462.52</v>
      </c>
      <c r="Q10" s="142">
        <f>'A2-FinPerf SC'!K10</f>
        <v>33350.269999999997</v>
      </c>
      <c r="R10" s="247"/>
    </row>
    <row r="11" spans="1:18" ht="11.25" customHeight="1" x14ac:dyDescent="0.25">
      <c r="A11" s="1129" t="str">
        <f>'A2-FinPerf SC'!A11</f>
        <v>Sport and recreation</v>
      </c>
      <c r="B11" s="737"/>
      <c r="C11" s="2107"/>
      <c r="D11" s="2088"/>
      <c r="E11" s="2088"/>
      <c r="F11" s="2088"/>
      <c r="G11" s="2088"/>
      <c r="H11" s="2088"/>
      <c r="I11" s="2088"/>
      <c r="J11" s="2088"/>
      <c r="K11" s="2088"/>
      <c r="L11" s="2088"/>
      <c r="M11" s="2088"/>
      <c r="N11" s="82">
        <f t="shared" si="1"/>
        <v>0</v>
      </c>
      <c r="O11" s="83">
        <f>'A2-FinPerf SC'!I11</f>
        <v>0</v>
      </c>
      <c r="P11" s="85">
        <f>'A2-FinPerf SC'!J11</f>
        <v>0</v>
      </c>
      <c r="Q11" s="142">
        <f>'A2-FinPerf SC'!K11</f>
        <v>0</v>
      </c>
      <c r="R11" s="247"/>
    </row>
    <row r="12" spans="1:18" ht="11.25" customHeight="1" x14ac:dyDescent="0.25">
      <c r="A12" s="1129" t="str">
        <f>'A2-FinPerf SC'!A12</f>
        <v>Public safety</v>
      </c>
      <c r="B12" s="737"/>
      <c r="C12" s="2107">
        <v>2849344.65</v>
      </c>
      <c r="D12" s="2107">
        <v>2849344.65</v>
      </c>
      <c r="E12" s="2107">
        <v>2849344.65</v>
      </c>
      <c r="F12" s="2107">
        <v>2849344.65</v>
      </c>
      <c r="G12" s="2107">
        <v>2849344.65</v>
      </c>
      <c r="H12" s="2107">
        <v>2849344.65</v>
      </c>
      <c r="I12" s="2107">
        <v>2849344.65</v>
      </c>
      <c r="J12" s="2107">
        <v>2849344.65</v>
      </c>
      <c r="K12" s="2107">
        <v>2849344.65</v>
      </c>
      <c r="L12" s="2107">
        <v>2849344.65</v>
      </c>
      <c r="M12" s="2107">
        <v>2849344.65</v>
      </c>
      <c r="N12" s="82">
        <f t="shared" si="1"/>
        <v>-29067655.34999999</v>
      </c>
      <c r="O12" s="83">
        <f>'A2-FinPerf SC'!I12</f>
        <v>2275135.7999999998</v>
      </c>
      <c r="P12" s="85">
        <f>'A2-FinPerf SC'!J12</f>
        <v>2411643.94</v>
      </c>
      <c r="Q12" s="142">
        <f>'A2-FinPerf SC'!K12</f>
        <v>2556342.58</v>
      </c>
      <c r="R12" s="247"/>
    </row>
    <row r="13" spans="1:18" ht="11.25" customHeight="1" x14ac:dyDescent="0.25">
      <c r="A13" s="1129" t="str">
        <f>'A2-FinPerf SC'!A13</f>
        <v>Housing</v>
      </c>
      <c r="B13" s="737"/>
      <c r="C13" s="2107">
        <v>22075.3325</v>
      </c>
      <c r="D13" s="2107">
        <v>22075.3325</v>
      </c>
      <c r="E13" s="2107">
        <v>22075.3325</v>
      </c>
      <c r="F13" s="2107">
        <v>22075.3325</v>
      </c>
      <c r="G13" s="2107">
        <v>22075.3325</v>
      </c>
      <c r="H13" s="2107">
        <v>22075.3325</v>
      </c>
      <c r="I13" s="2107">
        <v>22075.3325</v>
      </c>
      <c r="J13" s="2107">
        <v>22075.3325</v>
      </c>
      <c r="K13" s="2107">
        <v>22075.3325</v>
      </c>
      <c r="L13" s="2107">
        <v>22075.3325</v>
      </c>
      <c r="M13" s="2107">
        <v>22075.3325</v>
      </c>
      <c r="N13" s="82">
        <f t="shared" si="1"/>
        <v>22075.332500000048</v>
      </c>
      <c r="O13" s="83">
        <f>'A2-FinPerf SC'!I13</f>
        <v>264903.99</v>
      </c>
      <c r="P13" s="85">
        <f>'A2-FinPerf SC'!J13</f>
        <v>280798.21999999997</v>
      </c>
      <c r="Q13" s="142">
        <f>'A2-FinPerf SC'!K13</f>
        <v>297646.12</v>
      </c>
      <c r="R13" s="247"/>
    </row>
    <row r="14" spans="1:18" ht="11.25" customHeight="1" x14ac:dyDescent="0.25">
      <c r="A14" s="1129" t="str">
        <f>'A2-FinPerf SC'!A14</f>
        <v>Health</v>
      </c>
      <c r="B14" s="737"/>
      <c r="C14" s="2107"/>
      <c r="D14" s="2088"/>
      <c r="E14" s="2088"/>
      <c r="F14" s="2088"/>
      <c r="G14" s="2088"/>
      <c r="H14" s="2088"/>
      <c r="I14" s="2088"/>
      <c r="J14" s="2088"/>
      <c r="K14" s="2088"/>
      <c r="L14" s="2088"/>
      <c r="M14" s="2088"/>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1056768.0899999999</v>
      </c>
      <c r="D15" s="990">
        <f t="shared" ref="D15:M15" si="3">SUM(D16:D18)</f>
        <v>1056768.0899999999</v>
      </c>
      <c r="E15" s="990">
        <f t="shared" si="3"/>
        <v>1056768.0899999999</v>
      </c>
      <c r="F15" s="990">
        <f t="shared" si="3"/>
        <v>1056768.0899999999</v>
      </c>
      <c r="G15" s="990">
        <f t="shared" si="3"/>
        <v>1056768.0899999999</v>
      </c>
      <c r="H15" s="990">
        <f t="shared" si="3"/>
        <v>1056768.0899999999</v>
      </c>
      <c r="I15" s="990">
        <f t="shared" si="3"/>
        <v>1056768.0899999999</v>
      </c>
      <c r="J15" s="990">
        <f t="shared" si="3"/>
        <v>1056768.0899999999</v>
      </c>
      <c r="K15" s="990">
        <f t="shared" si="3"/>
        <v>1056768.0899999999</v>
      </c>
      <c r="L15" s="990">
        <f t="shared" si="3"/>
        <v>1056768.0899999999</v>
      </c>
      <c r="M15" s="990">
        <f t="shared" si="3"/>
        <v>1056768.0899999999</v>
      </c>
      <c r="N15" s="97">
        <f t="shared" si="1"/>
        <v>32973768.09</v>
      </c>
      <c r="O15" s="98">
        <f>'A2-FinPerf SC'!I15</f>
        <v>44598217.079999998</v>
      </c>
      <c r="P15" s="271">
        <f>'A2-FinPerf SC'!J15</f>
        <v>47614090.109999999</v>
      </c>
      <c r="Q15" s="223">
        <f>'A2-FinPerf SC'!K15</f>
        <v>50392915.509999998</v>
      </c>
      <c r="R15" s="247"/>
    </row>
    <row r="16" spans="1:18" ht="11.25" customHeight="1" x14ac:dyDescent="0.25">
      <c r="A16" s="1129" t="str">
        <f>'A2-FinPerf SC'!A16</f>
        <v>Planning and development</v>
      </c>
      <c r="B16" s="737"/>
      <c r="C16" s="2107">
        <v>62500</v>
      </c>
      <c r="D16" s="2107">
        <v>62500</v>
      </c>
      <c r="E16" s="2107">
        <v>62500</v>
      </c>
      <c r="F16" s="2107">
        <v>62500</v>
      </c>
      <c r="G16" s="2107">
        <v>62500</v>
      </c>
      <c r="H16" s="2107">
        <v>62500</v>
      </c>
      <c r="I16" s="2107">
        <v>62500</v>
      </c>
      <c r="J16" s="2107">
        <v>62500</v>
      </c>
      <c r="K16" s="2107">
        <v>62500</v>
      </c>
      <c r="L16" s="2107">
        <v>62500</v>
      </c>
      <c r="M16" s="2107">
        <v>62500</v>
      </c>
      <c r="N16" s="82">
        <f t="shared" si="1"/>
        <v>62500</v>
      </c>
      <c r="O16" s="83">
        <f>'A2-FinPerf SC'!I16</f>
        <v>750000</v>
      </c>
      <c r="P16" s="85">
        <f>'A2-FinPerf SC'!J16</f>
        <v>788000</v>
      </c>
      <c r="Q16" s="142">
        <f>'A2-FinPerf SC'!K16</f>
        <v>0</v>
      </c>
      <c r="R16" s="247"/>
    </row>
    <row r="17" spans="1:18" ht="11.25" customHeight="1" x14ac:dyDescent="0.25">
      <c r="A17" s="1129" t="str">
        <f>'A2-FinPerf SC'!A17</f>
        <v>Road transport</v>
      </c>
      <c r="B17" s="737"/>
      <c r="C17" s="2107">
        <v>994268.09</v>
      </c>
      <c r="D17" s="2107">
        <v>994268.09</v>
      </c>
      <c r="E17" s="2107">
        <v>994268.09</v>
      </c>
      <c r="F17" s="2107">
        <v>994268.09</v>
      </c>
      <c r="G17" s="2107">
        <v>994268.09</v>
      </c>
      <c r="H17" s="2107">
        <v>994268.09</v>
      </c>
      <c r="I17" s="2107">
        <v>994268.09</v>
      </c>
      <c r="J17" s="2107">
        <v>994268.09</v>
      </c>
      <c r="K17" s="2107">
        <v>994268.09</v>
      </c>
      <c r="L17" s="2107">
        <v>994268.09</v>
      </c>
      <c r="M17" s="2107">
        <v>994268.09</v>
      </c>
      <c r="N17" s="82">
        <f t="shared" si="1"/>
        <v>32911268.089999996</v>
      </c>
      <c r="O17" s="83">
        <f>'A2-FinPerf SC'!I17</f>
        <v>43848217.079999998</v>
      </c>
      <c r="P17" s="85">
        <f>'A2-FinPerf SC'!J17</f>
        <v>46826090.109999999</v>
      </c>
      <c r="Q17" s="142">
        <f>'A2-FinPerf SC'!K17</f>
        <v>50392915.509999998</v>
      </c>
      <c r="R17" s="247"/>
    </row>
    <row r="18" spans="1:18" ht="11.25" customHeight="1" x14ac:dyDescent="0.25">
      <c r="A18" s="1129" t="str">
        <f>'A2-FinPerf SC'!A18</f>
        <v>Environmental protection</v>
      </c>
      <c r="B18" s="737"/>
      <c r="C18" s="2107"/>
      <c r="D18" s="2088"/>
      <c r="E18" s="2088"/>
      <c r="F18" s="2088"/>
      <c r="G18" s="2088"/>
      <c r="H18" s="2088"/>
      <c r="I18" s="2088"/>
      <c r="J18" s="2088"/>
      <c r="K18" s="2088"/>
      <c r="L18" s="2088"/>
      <c r="M18" s="2088"/>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4893515.1399960006</v>
      </c>
      <c r="D19" s="990">
        <f t="shared" ref="D19:M19" si="4">SUM(D20:D23)</f>
        <v>4893515.1399960006</v>
      </c>
      <c r="E19" s="990">
        <f t="shared" si="4"/>
        <v>4893515.1399960006</v>
      </c>
      <c r="F19" s="990">
        <f t="shared" si="4"/>
        <v>4893515.1399960006</v>
      </c>
      <c r="G19" s="990">
        <f t="shared" si="4"/>
        <v>4893515.1399960006</v>
      </c>
      <c r="H19" s="990">
        <f t="shared" si="4"/>
        <v>4893515.1399960006</v>
      </c>
      <c r="I19" s="990">
        <f t="shared" si="4"/>
        <v>4893515.1399960006</v>
      </c>
      <c r="J19" s="990">
        <f t="shared" si="4"/>
        <v>4893515.1399960006</v>
      </c>
      <c r="K19" s="990">
        <f t="shared" si="4"/>
        <v>4893515.1399960006</v>
      </c>
      <c r="L19" s="990">
        <f t="shared" si="4"/>
        <v>4893515.1399960006</v>
      </c>
      <c r="M19" s="990">
        <f t="shared" si="4"/>
        <v>4893515.1399960006</v>
      </c>
      <c r="N19" s="97">
        <f>O19-SUM(C19:M19)</f>
        <v>4893515.1400439963</v>
      </c>
      <c r="O19" s="98">
        <f>'A2-FinPerf SC'!I19</f>
        <v>58722181.68</v>
      </c>
      <c r="P19" s="271">
        <f>'A2-FinPerf SC'!J19</f>
        <v>62245512.579999998</v>
      </c>
      <c r="Q19" s="223">
        <f>'A2-FinPerf SC'!K19</f>
        <v>65980243.329999998</v>
      </c>
      <c r="R19" s="247"/>
    </row>
    <row r="20" spans="1:18" ht="11.25" customHeight="1" x14ac:dyDescent="0.25">
      <c r="A20" s="1129" t="str">
        <f>'A2-FinPerf SC'!A20</f>
        <v>Electricity</v>
      </c>
      <c r="B20" s="737"/>
      <c r="C20" s="2107">
        <v>4526221.5983300004</v>
      </c>
      <c r="D20" s="2107">
        <v>4526221.5983300004</v>
      </c>
      <c r="E20" s="2107">
        <v>4526221.5983300004</v>
      </c>
      <c r="F20" s="2107">
        <v>4526221.5983300004</v>
      </c>
      <c r="G20" s="2107">
        <v>4526221.5983300004</v>
      </c>
      <c r="H20" s="2107">
        <v>4526221.5983300004</v>
      </c>
      <c r="I20" s="2107">
        <v>4526221.5983300004</v>
      </c>
      <c r="J20" s="2107">
        <v>4526221.5983300004</v>
      </c>
      <c r="K20" s="2107">
        <v>4526221.5983300004</v>
      </c>
      <c r="L20" s="2107">
        <v>4526221.5983300004</v>
      </c>
      <c r="M20" s="2107">
        <v>4526221.5983300004</v>
      </c>
      <c r="N20" s="82">
        <f t="shared" si="1"/>
        <v>4526221.5983700082</v>
      </c>
      <c r="O20" s="83">
        <f>'A2-FinPerf SC'!I20</f>
        <v>54314659.18</v>
      </c>
      <c r="P20" s="85">
        <f>'A2-FinPerf SC'!J20</f>
        <v>57573538.729999997</v>
      </c>
      <c r="Q20" s="142">
        <f>'A2-FinPerf SC'!K20</f>
        <v>61027951.049999997</v>
      </c>
      <c r="R20" s="247"/>
    </row>
    <row r="21" spans="1:18" ht="11.25" customHeight="1" x14ac:dyDescent="0.25">
      <c r="A21" s="1129" t="str">
        <f>'A2-FinPerf SC'!A21</f>
        <v>Water</v>
      </c>
      <c r="B21" s="737"/>
      <c r="C21" s="2107"/>
      <c r="D21" s="2088"/>
      <c r="E21" s="2088"/>
      <c r="F21" s="2088"/>
      <c r="G21" s="2088"/>
      <c r="H21" s="2088"/>
      <c r="I21" s="2088"/>
      <c r="J21" s="2088"/>
      <c r="K21" s="2088"/>
      <c r="L21" s="2088"/>
      <c r="M21" s="2088"/>
      <c r="N21" s="82">
        <f t="shared" si="1"/>
        <v>0</v>
      </c>
      <c r="O21" s="83">
        <f>'A2-FinPerf SC'!I21</f>
        <v>0</v>
      </c>
      <c r="P21" s="85">
        <f>'A2-FinPerf SC'!J21</f>
        <v>0</v>
      </c>
      <c r="Q21" s="142">
        <f>'A2-FinPerf SC'!K21</f>
        <v>0</v>
      </c>
      <c r="R21" s="247"/>
    </row>
    <row r="22" spans="1:18" ht="11.25" customHeight="1" x14ac:dyDescent="0.25">
      <c r="A22" s="1129" t="str">
        <f>'A2-FinPerf SC'!A22</f>
        <v>Waste water management</v>
      </c>
      <c r="B22" s="737"/>
      <c r="C22" s="2107"/>
      <c r="D22" s="2088"/>
      <c r="E22" s="2088"/>
      <c r="F22" s="2088"/>
      <c r="G22" s="2088"/>
      <c r="H22" s="2088"/>
      <c r="I22" s="2088"/>
      <c r="J22" s="2088"/>
      <c r="K22" s="2088"/>
      <c r="L22" s="2088"/>
      <c r="M22" s="2088"/>
      <c r="N22" s="82">
        <f t="shared" si="1"/>
        <v>0</v>
      </c>
      <c r="O22" s="83">
        <f>'A2-FinPerf SC'!I22</f>
        <v>0</v>
      </c>
      <c r="P22" s="85">
        <f>'A2-FinPerf SC'!J22</f>
        <v>0</v>
      </c>
      <c r="Q22" s="142">
        <f>'A2-FinPerf SC'!K22</f>
        <v>0</v>
      </c>
      <c r="R22" s="247"/>
    </row>
    <row r="23" spans="1:18" ht="11.25" customHeight="1" x14ac:dyDescent="0.25">
      <c r="A23" s="1129" t="str">
        <f>'A2-FinPerf SC'!A23</f>
        <v>Waste management</v>
      </c>
      <c r="B23" s="737"/>
      <c r="C23" s="2107">
        <v>367293.54166599998</v>
      </c>
      <c r="D23" s="2107">
        <v>367293.54166599998</v>
      </c>
      <c r="E23" s="2107">
        <v>367293.54166599998</v>
      </c>
      <c r="F23" s="2107">
        <v>367293.54166599998</v>
      </c>
      <c r="G23" s="2107">
        <v>367293.54166599998</v>
      </c>
      <c r="H23" s="2107">
        <v>367293.54166599998</v>
      </c>
      <c r="I23" s="2107">
        <v>367293.54166599998</v>
      </c>
      <c r="J23" s="2107">
        <v>367293.54166599998</v>
      </c>
      <c r="K23" s="2107">
        <v>367293.54166599998</v>
      </c>
      <c r="L23" s="2107">
        <v>367293.54166599998</v>
      </c>
      <c r="M23" s="2107">
        <v>367293.54166599998</v>
      </c>
      <c r="N23" s="82">
        <f t="shared" si="1"/>
        <v>367293.54167399928</v>
      </c>
      <c r="O23" s="83">
        <f>'A2-FinPerf SC'!I23</f>
        <v>4407522.5</v>
      </c>
      <c r="P23" s="85">
        <f>'A2-FinPerf SC'!J23</f>
        <v>4671973.8499999996</v>
      </c>
      <c r="Q23" s="142">
        <f>'A2-FinPerf SC'!K23</f>
        <v>4952292.28</v>
      </c>
      <c r="R23" s="247"/>
    </row>
    <row r="24" spans="1:18" ht="11.25" customHeight="1" x14ac:dyDescent="0.25">
      <c r="A24" s="1128" t="str">
        <f>'A2-FinPerf SC'!A24</f>
        <v>Other</v>
      </c>
      <c r="B24" s="737"/>
      <c r="C24" s="2123"/>
      <c r="D24" s="2121"/>
      <c r="E24" s="2121"/>
      <c r="F24" s="2121"/>
      <c r="G24" s="2121"/>
      <c r="H24" s="2121"/>
      <c r="I24" s="2121"/>
      <c r="J24" s="2121"/>
      <c r="K24" s="2121"/>
      <c r="L24" s="2121"/>
      <c r="M24" s="2121"/>
      <c r="N24" s="97">
        <f t="shared" si="1"/>
        <v>0</v>
      </c>
      <c r="O24" s="98">
        <f>'A2-FinPerf SC'!I24</f>
        <v>0</v>
      </c>
      <c r="P24" s="271">
        <f>'A2-FinPerf SC'!J24</f>
        <v>0</v>
      </c>
      <c r="Q24" s="223">
        <f>'A2-FinPerf SC'!K24</f>
        <v>0</v>
      </c>
      <c r="R24" s="247"/>
    </row>
    <row r="25" spans="1:18" x14ac:dyDescent="0.25">
      <c r="A25" s="143" t="str">
        <f>'A2-FinPerf SC'!A25</f>
        <v>Total Revenue - Standard</v>
      </c>
      <c r="B25" s="738"/>
      <c r="C25" s="147">
        <f t="shared" ref="C25:Q25" si="5">C5+C9+C15+C19+C24</f>
        <v>21814072.118829001</v>
      </c>
      <c r="D25" s="145">
        <f t="shared" si="5"/>
        <v>21814072.118829001</v>
      </c>
      <c r="E25" s="145">
        <f t="shared" si="5"/>
        <v>21814072.118829001</v>
      </c>
      <c r="F25" s="145">
        <f t="shared" si="5"/>
        <v>21814072.118829001</v>
      </c>
      <c r="G25" s="145">
        <f t="shared" si="5"/>
        <v>21814072.118829001</v>
      </c>
      <c r="H25" s="145">
        <f t="shared" si="5"/>
        <v>21814072.118829001</v>
      </c>
      <c r="I25" s="145">
        <f t="shared" si="5"/>
        <v>21814072.118829001</v>
      </c>
      <c r="J25" s="145">
        <f t="shared" si="5"/>
        <v>21814072.118829001</v>
      </c>
      <c r="K25" s="145">
        <f t="shared" si="5"/>
        <v>21814072.118829001</v>
      </c>
      <c r="L25" s="145">
        <f t="shared" si="5"/>
        <v>21814072.118829001</v>
      </c>
      <c r="M25" s="145">
        <f t="shared" si="5"/>
        <v>21814072.118829001</v>
      </c>
      <c r="N25" s="145">
        <f t="shared" si="5"/>
        <v>21814072.122880999</v>
      </c>
      <c r="O25" s="93">
        <f t="shared" si="5"/>
        <v>261768865.43000001</v>
      </c>
      <c r="P25" s="91">
        <f t="shared" si="5"/>
        <v>279101537.33999997</v>
      </c>
      <c r="Q25" s="92">
        <f t="shared" si="5"/>
        <v>296482729.57999998</v>
      </c>
      <c r="R25" s="247"/>
    </row>
    <row r="26" spans="1:18" ht="5.0999999999999996" customHeight="1" x14ac:dyDescent="0.25">
      <c r="A26" s="151"/>
      <c r="B26" s="737"/>
      <c r="C26" s="83"/>
      <c r="D26" s="81">
        <f t="shared" ref="D26:L26" si="6">D6+D10+D16+D20+D25</f>
        <v>27095775.925492</v>
      </c>
      <c r="E26" s="81">
        <f t="shared" si="6"/>
        <v>27095775.925492</v>
      </c>
      <c r="F26" s="81">
        <f t="shared" si="6"/>
        <v>27095775.925492</v>
      </c>
      <c r="G26" s="81">
        <f t="shared" si="6"/>
        <v>27095775.925492</v>
      </c>
      <c r="H26" s="81">
        <f t="shared" si="6"/>
        <v>27095775.925492</v>
      </c>
      <c r="I26" s="81">
        <f t="shared" si="6"/>
        <v>27095775.925492</v>
      </c>
      <c r="J26" s="81">
        <f t="shared" si="6"/>
        <v>27095775.925492</v>
      </c>
      <c r="K26" s="81">
        <f t="shared" si="6"/>
        <v>27095775.925492</v>
      </c>
      <c r="L26" s="81">
        <f t="shared" si="6"/>
        <v>27095775.925492</v>
      </c>
      <c r="M26" s="81">
        <f>M6+M10+M16+M20+M25</f>
        <v>27095775.925492</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12245453.277490001</v>
      </c>
      <c r="D28" s="990">
        <f>SUM(D29:D31)</f>
        <v>12245453.277490001</v>
      </c>
      <c r="E28" s="990">
        <f t="shared" ref="E28:M28" si="7">SUM(E29:E31)</f>
        <v>12245453.277490001</v>
      </c>
      <c r="F28" s="990">
        <f t="shared" si="7"/>
        <v>12245453.277490001</v>
      </c>
      <c r="G28" s="990">
        <f t="shared" si="7"/>
        <v>12245453.277490001</v>
      </c>
      <c r="H28" s="990">
        <f t="shared" si="7"/>
        <v>12245453.277490001</v>
      </c>
      <c r="I28" s="990">
        <f t="shared" si="7"/>
        <v>12245453.277490001</v>
      </c>
      <c r="J28" s="990">
        <f t="shared" si="7"/>
        <v>12245453.277490001</v>
      </c>
      <c r="K28" s="990">
        <f t="shared" si="7"/>
        <v>12245453.277490001</v>
      </c>
      <c r="L28" s="990">
        <f t="shared" si="7"/>
        <v>12245453.277490001</v>
      </c>
      <c r="M28" s="990">
        <f t="shared" si="7"/>
        <v>12245453.277490001</v>
      </c>
      <c r="N28" s="97">
        <f t="shared" ref="N28:N37" si="8">O28-SUM(C28:M28)</f>
        <v>12245453.266384453</v>
      </c>
      <c r="O28" s="98">
        <f>'A2-FinPerf SC'!I28</f>
        <v>146945439.31877449</v>
      </c>
      <c r="P28" s="96">
        <f>'A2-FinPerf SC'!J28</f>
        <v>153807085.67999998</v>
      </c>
      <c r="Q28" s="97">
        <f>'A2-FinPerf SC'!K28</f>
        <v>163161810.81999999</v>
      </c>
      <c r="R28" s="247"/>
    </row>
    <row r="29" spans="1:18" ht="11.25" customHeight="1" x14ac:dyDescent="0.25">
      <c r="A29" s="1129" t="str">
        <f>'A2-FinPerf SC'!A29</f>
        <v>Executive and council</v>
      </c>
      <c r="B29" s="737"/>
      <c r="C29" s="2107">
        <v>2792585.5483300001</v>
      </c>
      <c r="D29" s="2107">
        <v>2792585.5483300001</v>
      </c>
      <c r="E29" s="2107">
        <v>2792585.5483300001</v>
      </c>
      <c r="F29" s="2107">
        <v>2792585.5483300001</v>
      </c>
      <c r="G29" s="2107">
        <v>2792585.5483300001</v>
      </c>
      <c r="H29" s="2107">
        <v>2792585.5483300001</v>
      </c>
      <c r="I29" s="2107">
        <v>2792585.5483300001</v>
      </c>
      <c r="J29" s="2107">
        <v>2792585.5483300001</v>
      </c>
      <c r="K29" s="2107">
        <v>2792585.5483300001</v>
      </c>
      <c r="L29" s="2107">
        <v>2792585.5483300001</v>
      </c>
      <c r="M29" s="2107">
        <v>2792585.5483300001</v>
      </c>
      <c r="N29" s="82">
        <f t="shared" si="8"/>
        <v>2792585.5491040014</v>
      </c>
      <c r="O29" s="83">
        <f>'A2-FinPerf SC'!I29</f>
        <v>33511026.580734007</v>
      </c>
      <c r="P29" s="81">
        <f>'A2-FinPerf SC'!J29</f>
        <v>33340208.18</v>
      </c>
      <c r="Q29" s="82">
        <f>'A2-FinPerf SC'!K29</f>
        <v>35340620.660000004</v>
      </c>
      <c r="R29" s="247"/>
    </row>
    <row r="30" spans="1:18" ht="11.25" customHeight="1" x14ac:dyDescent="0.25">
      <c r="A30" s="1129" t="str">
        <f>'A2-FinPerf SC'!A30</f>
        <v>Budget and treasury office</v>
      </c>
      <c r="B30" s="737"/>
      <c r="C30" s="2114">
        <v>7299869.77666</v>
      </c>
      <c r="D30" s="2110">
        <v>7299869.77666</v>
      </c>
      <c r="E30" s="2110">
        <v>7299869.77666</v>
      </c>
      <c r="F30" s="2110">
        <v>7299869.77666</v>
      </c>
      <c r="G30" s="2110">
        <v>7299869.77666</v>
      </c>
      <c r="H30" s="2110">
        <v>7299869.77666</v>
      </c>
      <c r="I30" s="2110">
        <v>7299869.77666</v>
      </c>
      <c r="J30" s="2110">
        <v>7299869.77666</v>
      </c>
      <c r="K30" s="2110">
        <v>7299869.77666</v>
      </c>
      <c r="L30" s="2110">
        <v>7299869.77666</v>
      </c>
      <c r="M30" s="2110">
        <v>7299869.77666</v>
      </c>
      <c r="N30" s="82">
        <f t="shared" si="8"/>
        <v>7299869.7667399943</v>
      </c>
      <c r="O30" s="83">
        <f>'A2-FinPerf SC'!I30</f>
        <v>87598437.310000002</v>
      </c>
      <c r="P30" s="81">
        <f>'A2-FinPerf SC'!J30</f>
        <v>93080743.549999997</v>
      </c>
      <c r="Q30" s="82">
        <f>'A2-FinPerf SC'!K30</f>
        <v>98791888.159999996</v>
      </c>
      <c r="R30" s="247"/>
    </row>
    <row r="31" spans="1:18" ht="11.25" customHeight="1" x14ac:dyDescent="0.25">
      <c r="A31" s="1129" t="str">
        <f>'A2-FinPerf SC'!A31</f>
        <v>Corporate services</v>
      </c>
      <c r="B31" s="737"/>
      <c r="C31" s="2107">
        <v>2152997.9525000001</v>
      </c>
      <c r="D31" s="2088">
        <v>2152997.9525000001</v>
      </c>
      <c r="E31" s="2088">
        <v>2152997.9525000001</v>
      </c>
      <c r="F31" s="2088">
        <v>2152997.9525000001</v>
      </c>
      <c r="G31" s="2088">
        <v>2152997.9525000001</v>
      </c>
      <c r="H31" s="2088">
        <v>2152997.9525000001</v>
      </c>
      <c r="I31" s="2088">
        <v>2152997.9525000001</v>
      </c>
      <c r="J31" s="2088">
        <v>2152997.9525000001</v>
      </c>
      <c r="K31" s="2088">
        <v>2152997.9525000001</v>
      </c>
      <c r="L31" s="2088">
        <v>2152997.9525000001</v>
      </c>
      <c r="M31" s="2088">
        <v>2152997.9525000001</v>
      </c>
      <c r="N31" s="82">
        <f t="shared" si="8"/>
        <v>2152997.9505404793</v>
      </c>
      <c r="O31" s="83">
        <f>'A2-FinPerf SC'!I31</f>
        <v>25835975.428040482</v>
      </c>
      <c r="P31" s="81">
        <f>'A2-FinPerf SC'!J31</f>
        <v>27386133.949999999</v>
      </c>
      <c r="Q31" s="82">
        <f>'A2-FinPerf SC'!K31</f>
        <v>29029302</v>
      </c>
      <c r="R31" s="247"/>
    </row>
    <row r="32" spans="1:18" ht="11.25" customHeight="1" x14ac:dyDescent="0.25">
      <c r="A32" s="1128" t="str">
        <f>'A2-FinPerf SC'!A32</f>
        <v>Community and public safety</v>
      </c>
      <c r="B32" s="737"/>
      <c r="C32" s="992">
        <f>SUM(C33:C37)</f>
        <v>3361391.9841649998</v>
      </c>
      <c r="D32" s="990">
        <f t="shared" ref="D32:M32" si="9">SUM(D33:D37)</f>
        <v>3361391.9841649998</v>
      </c>
      <c r="E32" s="990">
        <f t="shared" si="9"/>
        <v>3361391.9841649998</v>
      </c>
      <c r="F32" s="990">
        <f t="shared" si="9"/>
        <v>3361391.9841649998</v>
      </c>
      <c r="G32" s="990">
        <f t="shared" si="9"/>
        <v>3361391.9841649998</v>
      </c>
      <c r="H32" s="990">
        <f t="shared" si="9"/>
        <v>3361391.9841649998</v>
      </c>
      <c r="I32" s="990">
        <f t="shared" si="9"/>
        <v>3361391.9841649998</v>
      </c>
      <c r="J32" s="990">
        <f t="shared" si="9"/>
        <v>3361391.9841649998</v>
      </c>
      <c r="K32" s="990">
        <f t="shared" si="9"/>
        <v>3361391.9841649998</v>
      </c>
      <c r="L32" s="990">
        <f t="shared" si="9"/>
        <v>3361391.9841649998</v>
      </c>
      <c r="M32" s="990">
        <f t="shared" si="9"/>
        <v>3361391.9841649998</v>
      </c>
      <c r="N32" s="97">
        <f t="shared" si="8"/>
        <v>-819720.04863879085</v>
      </c>
      <c r="O32" s="98">
        <f>'A2-FinPerf SC'!I32</f>
        <v>36155591.777176194</v>
      </c>
      <c r="P32" s="96">
        <f>'A2-FinPerf SC'!J32</f>
        <v>38324927.289999999</v>
      </c>
      <c r="Q32" s="97">
        <f>'A2-FinPerf SC'!K32</f>
        <v>40624422.93</v>
      </c>
      <c r="R32" s="247"/>
    </row>
    <row r="33" spans="1:18" ht="11.25" customHeight="1" x14ac:dyDescent="0.25">
      <c r="A33" s="1129" t="str">
        <f>'A2-FinPerf SC'!A33</f>
        <v>Community and social services</v>
      </c>
      <c r="B33" s="737"/>
      <c r="C33" s="2107">
        <v>790443.66416599997</v>
      </c>
      <c r="D33" s="2107">
        <v>790443.66416599997</v>
      </c>
      <c r="E33" s="2107">
        <v>790443.66416599997</v>
      </c>
      <c r="F33" s="2107">
        <v>790443.66416599997</v>
      </c>
      <c r="G33" s="2107">
        <v>790443.66416599997</v>
      </c>
      <c r="H33" s="2107">
        <v>790443.66416599997</v>
      </c>
      <c r="I33" s="2107">
        <v>790443.66416599997</v>
      </c>
      <c r="J33" s="2107">
        <v>790443.66416599997</v>
      </c>
      <c r="K33" s="2107">
        <v>790443.66416599997</v>
      </c>
      <c r="L33" s="2107">
        <v>790443.66416599997</v>
      </c>
      <c r="M33" s="2107">
        <v>790443.66416599997</v>
      </c>
      <c r="N33" s="82">
        <f t="shared" si="8"/>
        <v>790443.6620853208</v>
      </c>
      <c r="O33" s="83">
        <f>'A2-FinPerf SC'!I33</f>
        <v>9485323.9679113198</v>
      </c>
      <c r="P33" s="81">
        <f>'A2-FinPerf SC'!J33</f>
        <v>10054443.41</v>
      </c>
      <c r="Q33" s="82">
        <f>'A2-FinPerf SC'!K33</f>
        <v>10657710.02</v>
      </c>
      <c r="R33" s="247"/>
    </row>
    <row r="34" spans="1:18" ht="11.25" customHeight="1" x14ac:dyDescent="0.25">
      <c r="A34" s="1129" t="str">
        <f>'A2-FinPerf SC'!A34</f>
        <v>Sport and recreation</v>
      </c>
      <c r="B34" s="737"/>
      <c r="C34" s="2107">
        <v>174547.75833300001</v>
      </c>
      <c r="D34" s="2107">
        <v>174547.75833300001</v>
      </c>
      <c r="E34" s="2107">
        <v>174547.75833300001</v>
      </c>
      <c r="F34" s="2107">
        <v>174547.75833300001</v>
      </c>
      <c r="G34" s="2107">
        <v>174547.75833300001</v>
      </c>
      <c r="H34" s="2107">
        <v>174547.75833300001</v>
      </c>
      <c r="I34" s="2107">
        <v>174547.75833300001</v>
      </c>
      <c r="J34" s="2107">
        <v>174547.75833300001</v>
      </c>
      <c r="K34" s="2107">
        <v>174547.75833300001</v>
      </c>
      <c r="L34" s="2107">
        <v>174547.75833300001</v>
      </c>
      <c r="M34" s="2107">
        <v>174547.75833300001</v>
      </c>
      <c r="N34" s="82">
        <f t="shared" si="8"/>
        <v>174547.75673700031</v>
      </c>
      <c r="O34" s="83">
        <f>'A2-FinPerf SC'!I34</f>
        <v>2094573.0984</v>
      </c>
      <c r="P34" s="81">
        <f>'A2-FinPerf SC'!J34</f>
        <v>2220247.48</v>
      </c>
      <c r="Q34" s="82">
        <f>'A2-FinPerf SC'!K34</f>
        <v>2353462.33</v>
      </c>
      <c r="R34" s="247"/>
    </row>
    <row r="35" spans="1:18" ht="11.25" customHeight="1" x14ac:dyDescent="0.25">
      <c r="A35" s="1129" t="str">
        <f>'A2-FinPerf SC'!A35</f>
        <v>Public safety</v>
      </c>
      <c r="B35" s="737"/>
      <c r="C35" s="2107">
        <v>1619786.4424999999</v>
      </c>
      <c r="D35" s="2107">
        <v>1619786.4424999999</v>
      </c>
      <c r="E35" s="2107">
        <v>1619786.4424999999</v>
      </c>
      <c r="F35" s="2107">
        <v>1619786.4424999999</v>
      </c>
      <c r="G35" s="2107">
        <v>1619786.4424999999</v>
      </c>
      <c r="H35" s="2107">
        <v>1619786.4424999999</v>
      </c>
      <c r="I35" s="2107">
        <v>1619786.4424999999</v>
      </c>
      <c r="J35" s="2107">
        <v>1619786.4424999999</v>
      </c>
      <c r="K35" s="2107">
        <v>1619786.4424999999</v>
      </c>
      <c r="L35" s="2107">
        <v>1619786.4424999999</v>
      </c>
      <c r="M35" s="2107">
        <v>1619786.4424999999</v>
      </c>
      <c r="N35" s="82">
        <f t="shared" si="8"/>
        <v>-2561325.5874999966</v>
      </c>
      <c r="O35" s="83">
        <f>'A2-FinPerf SC'!I35</f>
        <v>15256325.279999999</v>
      </c>
      <c r="P35" s="81">
        <f>'A2-FinPerf SC'!J35</f>
        <v>16171704.800000001</v>
      </c>
      <c r="Q35" s="82">
        <f>'A2-FinPerf SC'!K35</f>
        <v>17142007.079999998</v>
      </c>
      <c r="R35" s="247"/>
    </row>
    <row r="36" spans="1:18" ht="11.25" customHeight="1" x14ac:dyDescent="0.25">
      <c r="A36" s="1129" t="str">
        <f>'A2-FinPerf SC'!A36</f>
        <v>Housing</v>
      </c>
      <c r="B36" s="737"/>
      <c r="C36" s="2107">
        <v>499049.59499999997</v>
      </c>
      <c r="D36" s="2107">
        <v>499049.59499999997</v>
      </c>
      <c r="E36" s="2107">
        <v>499049.59499999997</v>
      </c>
      <c r="F36" s="2107">
        <v>499049.59499999997</v>
      </c>
      <c r="G36" s="2107">
        <v>499049.59499999997</v>
      </c>
      <c r="H36" s="2107">
        <v>499049.59499999997</v>
      </c>
      <c r="I36" s="2107">
        <v>499049.59499999997</v>
      </c>
      <c r="J36" s="2107">
        <v>499049.59499999997</v>
      </c>
      <c r="K36" s="2107">
        <v>499049.59499999997</v>
      </c>
      <c r="L36" s="2107">
        <v>499049.59499999997</v>
      </c>
      <c r="M36" s="2107">
        <v>499049.59499999997</v>
      </c>
      <c r="N36" s="82">
        <f t="shared" si="8"/>
        <v>499049.59186488111</v>
      </c>
      <c r="O36" s="83">
        <f>'A2-FinPerf SC'!I36</f>
        <v>5988595.1368648792</v>
      </c>
      <c r="P36" s="81">
        <f>'A2-FinPerf SC'!J36</f>
        <v>6347910.8499999996</v>
      </c>
      <c r="Q36" s="82">
        <f>'A2-FinPerf SC'!K36</f>
        <v>6728785.5</v>
      </c>
      <c r="R36" s="247"/>
    </row>
    <row r="37" spans="1:18" ht="11.25" customHeight="1" x14ac:dyDescent="0.25">
      <c r="A37" s="1129" t="str">
        <f>'A2-FinPerf SC'!A37</f>
        <v>Health</v>
      </c>
      <c r="B37" s="737"/>
      <c r="C37" s="2107">
        <v>277564.52416600002</v>
      </c>
      <c r="D37" s="2107">
        <v>277564.52416600002</v>
      </c>
      <c r="E37" s="2107">
        <v>277564.52416600002</v>
      </c>
      <c r="F37" s="2107">
        <v>277564.52416600002</v>
      </c>
      <c r="G37" s="2107">
        <v>277564.52416600002</v>
      </c>
      <c r="H37" s="2107">
        <v>277564.52416600002</v>
      </c>
      <c r="I37" s="2107">
        <v>277564.52416600002</v>
      </c>
      <c r="J37" s="2107">
        <v>277564.52416600002</v>
      </c>
      <c r="K37" s="2107">
        <v>277564.52416600002</v>
      </c>
      <c r="L37" s="2107">
        <v>277564.52416600002</v>
      </c>
      <c r="M37" s="2107">
        <v>277564.52416600002</v>
      </c>
      <c r="N37" s="82">
        <f t="shared" si="8"/>
        <v>277564.52817399893</v>
      </c>
      <c r="O37" s="83">
        <f>'A2-FinPerf SC'!I37</f>
        <v>3330774.2939999993</v>
      </c>
      <c r="P37" s="81">
        <f>'A2-FinPerf SC'!J37</f>
        <v>3530620.75</v>
      </c>
      <c r="Q37" s="82">
        <f>'A2-FinPerf SC'!K37</f>
        <v>3742458</v>
      </c>
      <c r="R37" s="247"/>
    </row>
    <row r="38" spans="1:18" ht="11.25" customHeight="1" x14ac:dyDescent="0.25">
      <c r="A38" s="1128" t="str">
        <f>'A2-FinPerf SC'!A38</f>
        <v>Economic and environmental services</v>
      </c>
      <c r="B38" s="737"/>
      <c r="C38" s="992">
        <f>SUM(C39:C41)</f>
        <v>2316291.7824999997</v>
      </c>
      <c r="D38" s="990">
        <f t="shared" ref="D38:M38" si="10">SUM(D39:D41)</f>
        <v>2316291.7824999997</v>
      </c>
      <c r="E38" s="990">
        <f t="shared" si="10"/>
        <v>2316291.7824999997</v>
      </c>
      <c r="F38" s="990">
        <f t="shared" si="10"/>
        <v>2316291.7824999997</v>
      </c>
      <c r="G38" s="990">
        <f t="shared" si="10"/>
        <v>2316291.7824999997</v>
      </c>
      <c r="H38" s="990">
        <f t="shared" si="10"/>
        <v>2316291.7824999997</v>
      </c>
      <c r="I38" s="990">
        <f t="shared" si="10"/>
        <v>2316291.7824999997</v>
      </c>
      <c r="J38" s="990">
        <f t="shared" si="10"/>
        <v>2316291.7824999997</v>
      </c>
      <c r="K38" s="990">
        <f t="shared" si="10"/>
        <v>2316291.7824999997</v>
      </c>
      <c r="L38" s="990">
        <f t="shared" si="10"/>
        <v>2316291.7824999997</v>
      </c>
      <c r="M38" s="990">
        <f t="shared" si="10"/>
        <v>2316291.7824999997</v>
      </c>
      <c r="N38" s="97">
        <f t="shared" ref="N38:N47" si="11">O38-SUM(C38:M38)</f>
        <v>67141940.364039376</v>
      </c>
      <c r="O38" s="98">
        <f>'A2-FinPerf SC'!I38</f>
        <v>92621149.971539363</v>
      </c>
      <c r="P38" s="96">
        <f>'A2-FinPerf SC'!J38</f>
        <v>98518398.970461503</v>
      </c>
      <c r="Q38" s="97">
        <f>'A2-FinPerf SC'!K38</f>
        <v>105186762.9048892</v>
      </c>
      <c r="R38" s="247"/>
    </row>
    <row r="39" spans="1:18" ht="11.25" customHeight="1" x14ac:dyDescent="0.25">
      <c r="A39" s="1129" t="str">
        <f>'A2-FinPerf SC'!A39</f>
        <v>Planning and development</v>
      </c>
      <c r="B39" s="737"/>
      <c r="C39" s="2107">
        <v>404614.71750000003</v>
      </c>
      <c r="D39" s="2107">
        <v>404614.71750000003</v>
      </c>
      <c r="E39" s="2107">
        <v>404614.71750000003</v>
      </c>
      <c r="F39" s="2107">
        <v>404614.71750000003</v>
      </c>
      <c r="G39" s="2107">
        <v>404614.71750000003</v>
      </c>
      <c r="H39" s="2107">
        <v>404614.71750000003</v>
      </c>
      <c r="I39" s="2107">
        <v>404614.71750000003</v>
      </c>
      <c r="J39" s="2107">
        <v>404614.71750000003</v>
      </c>
      <c r="K39" s="2107">
        <v>404614.71750000003</v>
      </c>
      <c r="L39" s="2107">
        <v>404614.71750000003</v>
      </c>
      <c r="M39" s="2107">
        <v>404614.71750000003</v>
      </c>
      <c r="N39" s="82">
        <f t="shared" si="11"/>
        <v>404614.72143417969</v>
      </c>
      <c r="O39" s="83">
        <f>'A2-FinPerf SC'!I39</f>
        <v>4855376.6139341807</v>
      </c>
      <c r="P39" s="81">
        <f>'A2-FinPerf SC'!J39</f>
        <v>5139699.21</v>
      </c>
      <c r="Q39" s="82">
        <f>'A2-FinPerf SC'!K39</f>
        <v>5448081.1600000001</v>
      </c>
      <c r="R39" s="247"/>
    </row>
    <row r="40" spans="1:18" ht="11.25" customHeight="1" x14ac:dyDescent="0.25">
      <c r="A40" s="1129" t="str">
        <f>'A2-FinPerf SC'!A40</f>
        <v>Road transport</v>
      </c>
      <c r="B40" s="737"/>
      <c r="C40" s="2107">
        <v>1911677.0649999999</v>
      </c>
      <c r="D40" s="2107">
        <v>1911677.0649999999</v>
      </c>
      <c r="E40" s="2107">
        <v>1911677.0649999999</v>
      </c>
      <c r="F40" s="2107">
        <v>1911677.0649999999</v>
      </c>
      <c r="G40" s="2107">
        <v>1911677.0649999999</v>
      </c>
      <c r="H40" s="2107">
        <v>1911677.0649999999</v>
      </c>
      <c r="I40" s="2107">
        <v>1911677.0649999999</v>
      </c>
      <c r="J40" s="2107">
        <v>1911677.0649999999</v>
      </c>
      <c r="K40" s="2107">
        <v>1911677.0649999999</v>
      </c>
      <c r="L40" s="2107">
        <v>1911677.0649999999</v>
      </c>
      <c r="M40" s="2107">
        <v>1911677.0649999999</v>
      </c>
      <c r="N40" s="82">
        <f t="shared" si="11"/>
        <v>66737325.642605186</v>
      </c>
      <c r="O40" s="83">
        <f>'A2-FinPerf SC'!I40</f>
        <v>87765773.357605189</v>
      </c>
      <c r="P40" s="81">
        <f>'A2-FinPerf SC'!J40</f>
        <v>93378699.760461509</v>
      </c>
      <c r="Q40" s="82">
        <f>'A2-FinPerf SC'!K40</f>
        <v>99738681.7448892</v>
      </c>
      <c r="R40" s="247"/>
    </row>
    <row r="41" spans="1:18" ht="11.25" customHeight="1" x14ac:dyDescent="0.25">
      <c r="A41" s="1129" t="str">
        <f>'A2-FinPerf SC'!A41</f>
        <v>Environmental protection</v>
      </c>
      <c r="B41" s="737"/>
      <c r="C41" s="2107"/>
      <c r="D41" s="2088"/>
      <c r="E41" s="2088"/>
      <c r="F41" s="2088"/>
      <c r="G41" s="2088"/>
      <c r="H41" s="2088"/>
      <c r="I41" s="2088"/>
      <c r="J41" s="2088"/>
      <c r="K41" s="2088"/>
      <c r="L41" s="2088"/>
      <c r="M41" s="2088"/>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8245768.408325999</v>
      </c>
      <c r="D42" s="990">
        <f t="shared" ref="D42:M42" si="12">SUM(D43:D46)</f>
        <v>8245768.408325999</v>
      </c>
      <c r="E42" s="990">
        <f t="shared" si="12"/>
        <v>8245768.408325999</v>
      </c>
      <c r="F42" s="990">
        <f t="shared" si="12"/>
        <v>8245768.408325999</v>
      </c>
      <c r="G42" s="990">
        <f t="shared" si="12"/>
        <v>8245768.408325999</v>
      </c>
      <c r="H42" s="990">
        <f t="shared" si="12"/>
        <v>8245768.408325999</v>
      </c>
      <c r="I42" s="990">
        <f t="shared" si="12"/>
        <v>8245768.408325999</v>
      </c>
      <c r="J42" s="990">
        <f t="shared" si="12"/>
        <v>8245768.408325999</v>
      </c>
      <c r="K42" s="990">
        <f t="shared" si="12"/>
        <v>8245768.408325999</v>
      </c>
      <c r="L42" s="990">
        <f t="shared" si="12"/>
        <v>8245768.408325999</v>
      </c>
      <c r="M42" s="990">
        <f t="shared" si="12"/>
        <v>8245768.408325999</v>
      </c>
      <c r="N42" s="97">
        <f>O42-SUM(C42:M42)</f>
        <v>-52398768.14535398</v>
      </c>
      <c r="O42" s="98">
        <f>'A2-FinPerf SC'!I42</f>
        <v>38304684.346232004</v>
      </c>
      <c r="P42" s="96">
        <f>'A2-FinPerf SC'!J42</f>
        <v>40602965.399999999</v>
      </c>
      <c r="Q42" s="97">
        <f>'A2-FinPerf SC'!K42</f>
        <v>43039143.329999998</v>
      </c>
      <c r="R42" s="247"/>
    </row>
    <row r="43" spans="1:18" ht="11.25" customHeight="1" x14ac:dyDescent="0.25">
      <c r="A43" s="1129" t="str">
        <f>'A2-FinPerf SC'!A43</f>
        <v>Electricity</v>
      </c>
      <c r="B43" s="737"/>
      <c r="C43" s="2107">
        <v>2481642.4674999998</v>
      </c>
      <c r="D43" s="2107">
        <v>2481642.4674999998</v>
      </c>
      <c r="E43" s="2107">
        <v>2481642.4674999998</v>
      </c>
      <c r="F43" s="2107">
        <v>2481642.4674999998</v>
      </c>
      <c r="G43" s="2107">
        <v>2481642.4674999998</v>
      </c>
      <c r="H43" s="2107">
        <v>2481642.4674999998</v>
      </c>
      <c r="I43" s="2107">
        <v>2481642.4674999998</v>
      </c>
      <c r="J43" s="2107">
        <v>2481642.4674999998</v>
      </c>
      <c r="K43" s="2107">
        <v>2481642.4674999998</v>
      </c>
      <c r="L43" s="2107">
        <v>2481642.4674999998</v>
      </c>
      <c r="M43" s="2107">
        <v>2481642.4674999998</v>
      </c>
      <c r="N43" s="82">
        <f t="shared" si="11"/>
        <v>2481642.4646600001</v>
      </c>
      <c r="O43" s="83">
        <f>'A2-FinPerf SC'!I43</f>
        <v>29779709.607160002</v>
      </c>
      <c r="P43" s="81">
        <f>'A2-FinPerf SC'!J43</f>
        <v>31566492.18</v>
      </c>
      <c r="Q43" s="82">
        <f>'A2-FinPerf SC'!K43</f>
        <v>33460481.710000001</v>
      </c>
      <c r="R43" s="247"/>
    </row>
    <row r="44" spans="1:18" ht="11.25" customHeight="1" x14ac:dyDescent="0.25">
      <c r="A44" s="1129" t="str">
        <f>'A2-FinPerf SC'!A44</f>
        <v>Water</v>
      </c>
      <c r="B44" s="737"/>
      <c r="C44" s="2107"/>
      <c r="D44" s="2088"/>
      <c r="E44" s="2088"/>
      <c r="F44" s="2088"/>
      <c r="G44" s="2088"/>
      <c r="H44" s="2088"/>
      <c r="I44" s="2088"/>
      <c r="J44" s="2088"/>
      <c r="K44" s="2088"/>
      <c r="L44" s="2088"/>
      <c r="M44" s="2088"/>
      <c r="N44" s="82">
        <f t="shared" si="11"/>
        <v>0</v>
      </c>
      <c r="O44" s="83">
        <f>'A2-FinPerf SC'!I44</f>
        <v>0</v>
      </c>
      <c r="P44" s="81">
        <f>'A2-FinPerf SC'!J44</f>
        <v>0</v>
      </c>
      <c r="Q44" s="82">
        <f>'A2-FinPerf SC'!K44</f>
        <v>0</v>
      </c>
      <c r="R44" s="247"/>
    </row>
    <row r="45" spans="1:18" ht="11.25" customHeight="1" x14ac:dyDescent="0.25">
      <c r="A45" s="1129" t="str">
        <f>'A2-FinPerf SC'!A45</f>
        <v>Waste water management</v>
      </c>
      <c r="B45" s="737"/>
      <c r="C45" s="2107">
        <v>5053711.37916</v>
      </c>
      <c r="D45" s="2107">
        <v>5053711.37916</v>
      </c>
      <c r="E45" s="2107">
        <v>5053711.37916</v>
      </c>
      <c r="F45" s="2107">
        <v>5053711.37916</v>
      </c>
      <c r="G45" s="2107">
        <v>5053711.37916</v>
      </c>
      <c r="H45" s="2107">
        <v>5053711.37916</v>
      </c>
      <c r="I45" s="2107">
        <v>5053711.37916</v>
      </c>
      <c r="J45" s="2107">
        <v>5053711.37916</v>
      </c>
      <c r="K45" s="2107">
        <v>5053711.37916</v>
      </c>
      <c r="L45" s="2107">
        <v>5053711.37916</v>
      </c>
      <c r="M45" s="2107">
        <v>5053711.37916</v>
      </c>
      <c r="N45" s="82">
        <f t="shared" si="11"/>
        <v>-55590825.170760013</v>
      </c>
      <c r="O45" s="83">
        <f>'A2-FinPerf SC'!I45</f>
        <v>0</v>
      </c>
      <c r="P45" s="81">
        <f>'A2-FinPerf SC'!J45</f>
        <v>0</v>
      </c>
      <c r="Q45" s="82">
        <f>'A2-FinPerf SC'!K45</f>
        <v>0</v>
      </c>
      <c r="R45" s="247"/>
    </row>
    <row r="46" spans="1:18" ht="11.25" customHeight="1" x14ac:dyDescent="0.25">
      <c r="A46" s="1129" t="str">
        <f>'A2-FinPerf SC'!A46</f>
        <v>Waste management</v>
      </c>
      <c r="B46" s="737"/>
      <c r="C46" s="2107">
        <v>710414.56166600005</v>
      </c>
      <c r="D46" s="2107">
        <v>710414.56166600005</v>
      </c>
      <c r="E46" s="2107">
        <v>710414.56166600005</v>
      </c>
      <c r="F46" s="2107">
        <v>710414.56166600005</v>
      </c>
      <c r="G46" s="2107">
        <v>710414.56166600005</v>
      </c>
      <c r="H46" s="2107">
        <v>710414.56166600005</v>
      </c>
      <c r="I46" s="2107">
        <v>710414.56166600005</v>
      </c>
      <c r="J46" s="2107">
        <v>710414.56166600005</v>
      </c>
      <c r="K46" s="2107">
        <v>710414.56166600005</v>
      </c>
      <c r="L46" s="2107">
        <v>710414.56166600005</v>
      </c>
      <c r="M46" s="2107">
        <v>710414.56166600005</v>
      </c>
      <c r="N46" s="82">
        <f t="shared" si="11"/>
        <v>710414.56074600387</v>
      </c>
      <c r="O46" s="83">
        <f>'A2-FinPerf SC'!I46</f>
        <v>8524974.7390720025</v>
      </c>
      <c r="P46" s="81">
        <f>'A2-FinPerf SC'!J46</f>
        <v>9036473.2200000007</v>
      </c>
      <c r="Q46" s="82">
        <f>'A2-FinPerf SC'!K46</f>
        <v>9578661.6199999992</v>
      </c>
      <c r="R46" s="247"/>
    </row>
    <row r="47" spans="1:18" ht="11.25" customHeight="1" x14ac:dyDescent="0.25">
      <c r="A47" s="1128" t="str">
        <f>'A2-FinPerf SC'!A47</f>
        <v>Other</v>
      </c>
      <c r="B47" s="737"/>
      <c r="C47" s="2123"/>
      <c r="D47" s="2121"/>
      <c r="E47" s="2121"/>
      <c r="F47" s="2121"/>
      <c r="G47" s="2121"/>
      <c r="H47" s="2121"/>
      <c r="I47" s="2121"/>
      <c r="J47" s="2121"/>
      <c r="K47" s="2121"/>
      <c r="L47" s="2121"/>
      <c r="M47" s="2121"/>
      <c r="N47" s="97">
        <f t="shared" si="11"/>
        <v>0</v>
      </c>
      <c r="O47" s="98">
        <f>'A2-FinPerf SC'!I47</f>
        <v>0</v>
      </c>
      <c r="P47" s="96">
        <f>'A2-FinPerf SC'!J47</f>
        <v>0</v>
      </c>
      <c r="Q47" s="97">
        <f>'A2-FinPerf SC'!K47</f>
        <v>0</v>
      </c>
      <c r="R47" s="247"/>
    </row>
    <row r="48" spans="1:18" x14ac:dyDescent="0.25">
      <c r="A48" s="143" t="str">
        <f>'A2-FinPerf SC'!A48</f>
        <v>Total Expenditure - Standard</v>
      </c>
      <c r="B48" s="738"/>
      <c r="C48" s="147">
        <f>C28+C32+C38+C42+C47</f>
        <v>26168905.452481002</v>
      </c>
      <c r="D48" s="145">
        <f t="shared" ref="D48:P48" si="13">D28+D32+D38+D42+D47</f>
        <v>26168905.452481002</v>
      </c>
      <c r="E48" s="145">
        <f t="shared" si="13"/>
        <v>26168905.452481002</v>
      </c>
      <c r="F48" s="145">
        <f t="shared" si="13"/>
        <v>26168905.452481002</v>
      </c>
      <c r="G48" s="145">
        <f t="shared" si="13"/>
        <v>26168905.452481002</v>
      </c>
      <c r="H48" s="145">
        <f t="shared" si="13"/>
        <v>26168905.452481002</v>
      </c>
      <c r="I48" s="145">
        <f t="shared" si="13"/>
        <v>26168905.452481002</v>
      </c>
      <c r="J48" s="145">
        <f t="shared" si="13"/>
        <v>26168905.452481002</v>
      </c>
      <c r="K48" s="145">
        <f t="shared" si="13"/>
        <v>26168905.452481002</v>
      </c>
      <c r="L48" s="145">
        <f t="shared" si="13"/>
        <v>26168905.452481002</v>
      </c>
      <c r="M48" s="145">
        <f t="shared" si="13"/>
        <v>26168905.452481002</v>
      </c>
      <c r="N48" s="92">
        <f t="shared" si="13"/>
        <v>26168905.436431058</v>
      </c>
      <c r="O48" s="93">
        <f t="shared" si="13"/>
        <v>314026865.41372204</v>
      </c>
      <c r="P48" s="91">
        <f t="shared" si="13"/>
        <v>331253377.34046143</v>
      </c>
      <c r="Q48" s="92">
        <f>Q28+Q32+Q38+Q42+Q47</f>
        <v>352012139.98488921</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-4354833.3336520009</v>
      </c>
      <c r="D50" s="91">
        <f t="shared" si="14"/>
        <v>-4354833.3336520009</v>
      </c>
      <c r="E50" s="91">
        <f t="shared" si="14"/>
        <v>-4354833.3336520009</v>
      </c>
      <c r="F50" s="91">
        <f t="shared" si="14"/>
        <v>-4354833.3336520009</v>
      </c>
      <c r="G50" s="91">
        <f t="shared" si="14"/>
        <v>-4354833.3336520009</v>
      </c>
      <c r="H50" s="91">
        <f t="shared" si="14"/>
        <v>-4354833.3336520009</v>
      </c>
      <c r="I50" s="91">
        <f t="shared" si="14"/>
        <v>-4354833.3336520009</v>
      </c>
      <c r="J50" s="91">
        <f t="shared" si="14"/>
        <v>-4354833.3336520009</v>
      </c>
      <c r="K50" s="91">
        <f t="shared" si="14"/>
        <v>-4354833.3336520009</v>
      </c>
      <c r="L50" s="91">
        <f t="shared" si="14"/>
        <v>-4354833.3336520009</v>
      </c>
      <c r="M50" s="91">
        <f t="shared" si="14"/>
        <v>-4354833.3336520009</v>
      </c>
      <c r="N50" s="92">
        <f t="shared" si="14"/>
        <v>-4354833.3135500588</v>
      </c>
      <c r="O50" s="93">
        <f t="shared" si="14"/>
        <v>-52257999.983722031</v>
      </c>
      <c r="P50" s="91">
        <f t="shared" si="14"/>
        <v>-52151840.000461459</v>
      </c>
      <c r="Q50" s="92">
        <f t="shared" si="14"/>
        <v>-55529410.404889226</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2107"/>
      <c r="D52" s="2088"/>
      <c r="E52" s="2088"/>
      <c r="F52" s="2088"/>
      <c r="G52" s="2088"/>
      <c r="H52" s="2088"/>
      <c r="I52" s="2088"/>
      <c r="J52" s="2088"/>
      <c r="K52" s="2088"/>
      <c r="L52" s="2088"/>
      <c r="M52" s="2088"/>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-4354833.3336520009</v>
      </c>
      <c r="D53" s="105">
        <f t="shared" ref="D53:Q53" si="15">D50+D52</f>
        <v>-4354833.3336520009</v>
      </c>
      <c r="E53" s="105">
        <f t="shared" si="15"/>
        <v>-4354833.3336520009</v>
      </c>
      <c r="F53" s="105">
        <f t="shared" si="15"/>
        <v>-4354833.3336520009</v>
      </c>
      <c r="G53" s="105">
        <f t="shared" si="15"/>
        <v>-4354833.3336520009</v>
      </c>
      <c r="H53" s="105">
        <f t="shared" si="15"/>
        <v>-4354833.3336520009</v>
      </c>
      <c r="I53" s="105">
        <f t="shared" si="15"/>
        <v>-4354833.3336520009</v>
      </c>
      <c r="J53" s="105">
        <f t="shared" si="15"/>
        <v>-4354833.3336520009</v>
      </c>
      <c r="K53" s="105">
        <f t="shared" si="15"/>
        <v>-4354833.3336520009</v>
      </c>
      <c r="L53" s="105">
        <f t="shared" si="15"/>
        <v>-4354833.3336520009</v>
      </c>
      <c r="M53" s="105">
        <f t="shared" si="15"/>
        <v>-4354833.3336520009</v>
      </c>
      <c r="N53" s="230">
        <f t="shared" si="15"/>
        <v>-4354833.3135500588</v>
      </c>
      <c r="O53" s="231">
        <f t="shared" si="15"/>
        <v>-52257999.983722031</v>
      </c>
      <c r="P53" s="105">
        <f t="shared" si="15"/>
        <v>-52151840.000461459</v>
      </c>
      <c r="Q53" s="230">
        <f t="shared" si="15"/>
        <v>-55529410.404889226</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1533</v>
      </c>
    </row>
    <row r="56" spans="1:18" x14ac:dyDescent="0.25">
      <c r="A56" s="314" t="s">
        <v>1455</v>
      </c>
      <c r="B56" s="678"/>
      <c r="O56" s="752">
        <f>O53-'A4-FinPerf RE'!J48</f>
        <v>6.3317924737930298E-2</v>
      </c>
      <c r="P56" s="752">
        <f>P53-'A4-FinPerf RE'!K48</f>
        <v>0.83570095896720886</v>
      </c>
      <c r="Q56" s="752">
        <f>Q53-'A4-FinPerf RE'!L48</f>
        <v>-0.48037707805633545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25" activePane="bottomRight" state="frozen"/>
      <selection pane="topRight"/>
      <selection pane="bottomLeft"/>
      <selection pane="bottomRight" activeCell="I32" sqref="I32"/>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LIM471 Ephraim Mogale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1703</v>
      </c>
      <c r="P2" s="2651"/>
      <c r="Q2" s="2652"/>
    </row>
    <row r="3" spans="1:17" ht="25.5" x14ac:dyDescent="0.25">
      <c r="A3" s="865" t="s">
        <v>625</v>
      </c>
      <c r="B3" s="870"/>
      <c r="C3" s="177" t="s">
        <v>682</v>
      </c>
      <c r="D3" s="801" t="s">
        <v>1352</v>
      </c>
      <c r="E3" s="801" t="s">
        <v>1353</v>
      </c>
      <c r="F3" s="801" t="s">
        <v>1354</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EXECUTIVE AND COUNCIL</v>
      </c>
      <c r="B5" s="737"/>
      <c r="C5" s="2107"/>
      <c r="D5" s="2107"/>
      <c r="E5" s="2107"/>
      <c r="F5" s="2107"/>
      <c r="G5" s="2107"/>
      <c r="H5" s="2107"/>
      <c r="I5" s="2107"/>
      <c r="J5" s="2107"/>
      <c r="K5" s="2107"/>
      <c r="L5" s="2107"/>
      <c r="M5" s="2107"/>
      <c r="N5" s="80">
        <f>O5-SUM(C5:M5)</f>
        <v>0</v>
      </c>
      <c r="O5" s="83">
        <f>'A5-Capex'!J6</f>
        <v>0</v>
      </c>
      <c r="P5" s="81">
        <f>'A5-Capex'!K6</f>
        <v>0</v>
      </c>
      <c r="Q5" s="82">
        <f>'A5-Capex'!L6</f>
        <v>0</v>
      </c>
    </row>
    <row r="6" spans="1:17" x14ac:dyDescent="0.25">
      <c r="A6" s="996" t="str">
        <f>'A5-Capex'!A7</f>
        <v>Vote 2 - MUNICIPAL MANAGER</v>
      </c>
      <c r="B6" s="737"/>
      <c r="C6" s="2107"/>
      <c r="D6" s="2088"/>
      <c r="E6" s="2088"/>
      <c r="F6" s="2088"/>
      <c r="G6" s="2088"/>
      <c r="H6" s="2088"/>
      <c r="I6" s="2088"/>
      <c r="J6" s="2088"/>
      <c r="K6" s="2088"/>
      <c r="L6" s="2088"/>
      <c r="M6" s="2088"/>
      <c r="N6" s="80">
        <f t="shared" ref="N6:N11" si="0">O6-SUM(C6:M6)</f>
        <v>0</v>
      </c>
      <c r="O6" s="83">
        <f>'A5-Capex'!J7</f>
        <v>0</v>
      </c>
      <c r="P6" s="81">
        <f>'A5-Capex'!K7</f>
        <v>0</v>
      </c>
      <c r="Q6" s="82">
        <f>'A5-Capex'!L7</f>
        <v>0</v>
      </c>
    </row>
    <row r="7" spans="1:17" x14ac:dyDescent="0.25">
      <c r="A7" s="996" t="str">
        <f>'A5-Capex'!A8</f>
        <v>Vote 3 - FINANCE</v>
      </c>
      <c r="B7" s="737"/>
      <c r="C7" s="2107"/>
      <c r="D7" s="2088"/>
      <c r="E7" s="2088"/>
      <c r="F7" s="2088"/>
      <c r="G7" s="2088"/>
      <c r="H7" s="2088"/>
      <c r="I7" s="2088"/>
      <c r="J7" s="2088"/>
      <c r="K7" s="2088"/>
      <c r="L7" s="2088"/>
      <c r="M7" s="2088"/>
      <c r="N7" s="80">
        <f t="shared" si="0"/>
        <v>0</v>
      </c>
      <c r="O7" s="83">
        <f>'A5-Capex'!J8</f>
        <v>0</v>
      </c>
      <c r="P7" s="81">
        <f>'A5-Capex'!K8</f>
        <v>0</v>
      </c>
      <c r="Q7" s="82">
        <f>'A5-Capex'!L8</f>
        <v>0</v>
      </c>
    </row>
    <row r="8" spans="1:17" x14ac:dyDescent="0.25">
      <c r="A8" s="996" t="str">
        <f>'A5-Capex'!A9</f>
        <v>Vote 4 - CORPORATE SERVICES MANAGEMENT</v>
      </c>
      <c r="B8" s="737"/>
      <c r="C8" s="2107"/>
      <c r="D8" s="2107"/>
      <c r="E8" s="2107"/>
      <c r="F8" s="2107"/>
      <c r="G8" s="2107"/>
      <c r="H8" s="2107"/>
      <c r="I8" s="2107"/>
      <c r="J8" s="2107"/>
      <c r="K8" s="2107"/>
      <c r="L8" s="2107"/>
      <c r="M8" s="2107"/>
      <c r="N8" s="80">
        <f t="shared" si="0"/>
        <v>0</v>
      </c>
      <c r="O8" s="83">
        <f>'A5-Capex'!J9</f>
        <v>0</v>
      </c>
      <c r="P8" s="81">
        <f>'A5-Capex'!K9</f>
        <v>0</v>
      </c>
      <c r="Q8" s="82">
        <f>'A5-Capex'!L9</f>
        <v>0</v>
      </c>
    </row>
    <row r="9" spans="1:17" x14ac:dyDescent="0.25">
      <c r="A9" s="996" t="str">
        <f>'A5-Capex'!A10</f>
        <v>Vote 5 - COMMUNITY SERVICES MANAGEMENT</v>
      </c>
      <c r="B9" s="737"/>
      <c r="C9" s="2107"/>
      <c r="D9" s="2107"/>
      <c r="E9" s="2107"/>
      <c r="F9" s="2107"/>
      <c r="G9" s="2107"/>
      <c r="H9" s="2107"/>
      <c r="I9" s="2107"/>
      <c r="J9" s="2107"/>
      <c r="K9" s="2107"/>
      <c r="L9" s="2107"/>
      <c r="M9" s="2107"/>
      <c r="N9" s="80">
        <f t="shared" si="0"/>
        <v>0</v>
      </c>
      <c r="O9" s="83">
        <f>'A5-Capex'!J10</f>
        <v>0</v>
      </c>
      <c r="P9" s="81">
        <f>'A5-Capex'!K10</f>
        <v>0</v>
      </c>
      <c r="Q9" s="82">
        <f>'A5-Capex'!L10</f>
        <v>0</v>
      </c>
    </row>
    <row r="10" spans="1:17" x14ac:dyDescent="0.25">
      <c r="A10" s="996" t="str">
        <f>'A5-Capex'!A11</f>
        <v>Vote 6 - TECHNICAL SERVICES</v>
      </c>
      <c r="B10" s="737"/>
      <c r="C10" s="2107"/>
      <c r="D10" s="2107"/>
      <c r="E10" s="2107"/>
      <c r="F10" s="2107"/>
      <c r="G10" s="2107"/>
      <c r="H10" s="2107"/>
      <c r="I10" s="2107"/>
      <c r="J10" s="2107"/>
      <c r="K10" s="2107"/>
      <c r="L10" s="2107"/>
      <c r="M10" s="2107"/>
      <c r="N10" s="80">
        <f t="shared" si="0"/>
        <v>0</v>
      </c>
      <c r="O10" s="83">
        <f>'A5-Capex'!J11</f>
        <v>0</v>
      </c>
      <c r="P10" s="81">
        <f>'A5-Capex'!K11</f>
        <v>0</v>
      </c>
      <c r="Q10" s="82">
        <f>'A5-Capex'!L11</f>
        <v>0</v>
      </c>
    </row>
    <row r="11" spans="1:17" x14ac:dyDescent="0.25">
      <c r="A11" s="996" t="str">
        <f>'A5-Capex'!A12</f>
        <v xml:space="preserve">Vote 7 - </v>
      </c>
      <c r="B11" s="737"/>
      <c r="C11" s="2107"/>
      <c r="D11" s="2088"/>
      <c r="E11" s="2088"/>
      <c r="F11" s="2088"/>
      <c r="G11" s="2088"/>
      <c r="H11" s="2088"/>
      <c r="I11" s="2088"/>
      <c r="J11" s="2088"/>
      <c r="K11" s="2088"/>
      <c r="L11" s="2088"/>
      <c r="M11" s="2088"/>
      <c r="N11" s="80">
        <f t="shared" si="0"/>
        <v>0</v>
      </c>
      <c r="O11" s="83">
        <f>'A5-Capex'!J12</f>
        <v>0</v>
      </c>
      <c r="P11" s="81">
        <f>'A5-Capex'!K12</f>
        <v>0</v>
      </c>
      <c r="Q11" s="82">
        <f>'A5-Capex'!L12</f>
        <v>0</v>
      </c>
    </row>
    <row r="12" spans="1:17" x14ac:dyDescent="0.25">
      <c r="A12" s="996" t="str">
        <f>'A5-Capex'!A13</f>
        <v xml:space="preserve">Vote 8 - </v>
      </c>
      <c r="B12" s="737"/>
      <c r="C12" s="2107"/>
      <c r="D12" s="2107"/>
      <c r="E12" s="2107"/>
      <c r="F12" s="2107"/>
      <c r="G12" s="2107"/>
      <c r="H12" s="2107"/>
      <c r="I12" s="2107"/>
      <c r="J12" s="2107"/>
      <c r="K12" s="2107"/>
      <c r="L12" s="2107"/>
      <c r="M12" s="2107"/>
      <c r="N12" s="80">
        <f>O12-SUM(C12:M12)</f>
        <v>0</v>
      </c>
      <c r="O12" s="83">
        <f>'A5-Capex'!J13</f>
        <v>0</v>
      </c>
      <c r="P12" s="81">
        <f>'A5-Capex'!K13</f>
        <v>0</v>
      </c>
      <c r="Q12" s="82">
        <f>'A5-Capex'!L13</f>
        <v>0</v>
      </c>
    </row>
    <row r="13" spans="1:17" x14ac:dyDescent="0.25">
      <c r="A13" s="996" t="str">
        <f>'A5-Capex'!A14</f>
        <v>Vote 9 - [NAME OF VOTE 9]</v>
      </c>
      <c r="B13" s="737"/>
      <c r="C13" s="2107"/>
      <c r="D13" s="2088"/>
      <c r="E13" s="2088"/>
      <c r="F13" s="2088"/>
      <c r="G13" s="2088"/>
      <c r="H13" s="2088"/>
      <c r="I13" s="2088"/>
      <c r="J13" s="2088"/>
      <c r="K13" s="2088"/>
      <c r="L13" s="2088"/>
      <c r="M13" s="2088"/>
      <c r="N13" s="80">
        <f>O13-SUM(C13:M13)</f>
        <v>0</v>
      </c>
      <c r="O13" s="83">
        <f>'A5-Capex'!J14</f>
        <v>0</v>
      </c>
      <c r="P13" s="81">
        <f>'A5-Capex'!K14</f>
        <v>0</v>
      </c>
      <c r="Q13" s="82">
        <f>'A5-Capex'!L14</f>
        <v>0</v>
      </c>
    </row>
    <row r="14" spans="1:17" x14ac:dyDescent="0.25">
      <c r="A14" s="996" t="str">
        <f>'A5-Capex'!A15</f>
        <v>Vote 10 - [NAME OF VOTE 10]</v>
      </c>
      <c r="B14" s="737"/>
      <c r="C14" s="2107"/>
      <c r="D14" s="2088"/>
      <c r="E14" s="2088"/>
      <c r="F14" s="2088"/>
      <c r="G14" s="2088"/>
      <c r="H14" s="2088"/>
      <c r="I14" s="2088"/>
      <c r="J14" s="2088"/>
      <c r="K14" s="2088"/>
      <c r="L14" s="2088"/>
      <c r="M14" s="2088"/>
      <c r="N14" s="80">
        <f t="shared" ref="N14:N19" si="1">O14-SUM(C14:M14)</f>
        <v>0</v>
      </c>
      <c r="O14" s="83">
        <f>'A5-Capex'!J15</f>
        <v>0</v>
      </c>
      <c r="P14" s="81">
        <f>'A5-Capex'!K15</f>
        <v>0</v>
      </c>
      <c r="Q14" s="82">
        <f>'A5-Capex'!L15</f>
        <v>0</v>
      </c>
    </row>
    <row r="15" spans="1:17" x14ac:dyDescent="0.25">
      <c r="A15" s="996" t="str">
        <f>'A5-Capex'!A16</f>
        <v>Vote 11 - [NAME OF VOTE 11]</v>
      </c>
      <c r="B15" s="737"/>
      <c r="C15" s="2107"/>
      <c r="D15" s="2088"/>
      <c r="E15" s="2088"/>
      <c r="F15" s="2088"/>
      <c r="G15" s="2088"/>
      <c r="H15" s="2088"/>
      <c r="I15" s="2088"/>
      <c r="J15" s="2088"/>
      <c r="K15" s="2088"/>
      <c r="L15" s="2088"/>
      <c r="M15" s="2088"/>
      <c r="N15" s="80">
        <f t="shared" si="1"/>
        <v>0</v>
      </c>
      <c r="O15" s="83">
        <f>'A5-Capex'!J16</f>
        <v>0</v>
      </c>
      <c r="P15" s="81">
        <f>'A5-Capex'!K16</f>
        <v>0</v>
      </c>
      <c r="Q15" s="82">
        <f>'A5-Capex'!L16</f>
        <v>0</v>
      </c>
    </row>
    <row r="16" spans="1:17" x14ac:dyDescent="0.25">
      <c r="A16" s="996" t="str">
        <f>'A5-Capex'!A17</f>
        <v>Vote 12 - [NAME OF VOTE 12]</v>
      </c>
      <c r="B16" s="737"/>
      <c r="C16" s="2107"/>
      <c r="D16" s="2088"/>
      <c r="E16" s="2088"/>
      <c r="F16" s="2088"/>
      <c r="G16" s="2088"/>
      <c r="H16" s="2088"/>
      <c r="I16" s="2088"/>
      <c r="J16" s="2088"/>
      <c r="K16" s="2088"/>
      <c r="L16" s="2088"/>
      <c r="M16" s="2088"/>
      <c r="N16" s="80">
        <f t="shared" si="1"/>
        <v>0</v>
      </c>
      <c r="O16" s="83">
        <f>'A5-Capex'!J17</f>
        <v>0</v>
      </c>
      <c r="P16" s="81">
        <f>'A5-Capex'!K17</f>
        <v>0</v>
      </c>
      <c r="Q16" s="82">
        <f>'A5-Capex'!L17</f>
        <v>0</v>
      </c>
    </row>
    <row r="17" spans="1:17" x14ac:dyDescent="0.25">
      <c r="A17" s="996" t="str">
        <f>'A5-Capex'!A18</f>
        <v>Vote 13 - [NAME OF VOTE 13]</v>
      </c>
      <c r="B17" s="737"/>
      <c r="C17" s="2107"/>
      <c r="D17" s="2088"/>
      <c r="E17" s="2088"/>
      <c r="F17" s="2088"/>
      <c r="G17" s="2088"/>
      <c r="H17" s="2088"/>
      <c r="I17" s="2088"/>
      <c r="J17" s="2088"/>
      <c r="K17" s="2088"/>
      <c r="L17" s="2088"/>
      <c r="M17" s="2088"/>
      <c r="N17" s="80">
        <f t="shared" si="1"/>
        <v>0</v>
      </c>
      <c r="O17" s="83">
        <f>'A5-Capex'!J18</f>
        <v>0</v>
      </c>
      <c r="P17" s="81">
        <f>'A5-Capex'!K18</f>
        <v>0</v>
      </c>
      <c r="Q17" s="82">
        <f>'A5-Capex'!L18</f>
        <v>0</v>
      </c>
    </row>
    <row r="18" spans="1:17" x14ac:dyDescent="0.25">
      <c r="A18" s="996" t="str">
        <f>'A5-Capex'!A19</f>
        <v>Vote 14 - [NAME OF VOTE 14]</v>
      </c>
      <c r="B18" s="737"/>
      <c r="C18" s="2107"/>
      <c r="D18" s="2088"/>
      <c r="E18" s="2088"/>
      <c r="F18" s="2088"/>
      <c r="G18" s="2088"/>
      <c r="H18" s="2088"/>
      <c r="I18" s="2088"/>
      <c r="J18" s="2088"/>
      <c r="K18" s="2088"/>
      <c r="L18" s="2088"/>
      <c r="M18" s="2088"/>
      <c r="N18" s="80">
        <f t="shared" si="1"/>
        <v>0</v>
      </c>
      <c r="O18" s="83">
        <f>'A5-Capex'!J19</f>
        <v>0</v>
      </c>
      <c r="P18" s="81">
        <f>'A5-Capex'!K19</f>
        <v>0</v>
      </c>
      <c r="Q18" s="82">
        <f>'A5-Capex'!L19</f>
        <v>0</v>
      </c>
    </row>
    <row r="19" spans="1:17" x14ac:dyDescent="0.25">
      <c r="A19" s="996" t="str">
        <f>'A5-Capex'!A20</f>
        <v>Vote 15 - [NAME OF VOTE 15]</v>
      </c>
      <c r="B19" s="737"/>
      <c r="C19" s="2107"/>
      <c r="D19" s="2088"/>
      <c r="E19" s="2088"/>
      <c r="F19" s="2088"/>
      <c r="G19" s="2088"/>
      <c r="H19" s="2088"/>
      <c r="I19" s="2088"/>
      <c r="J19" s="2088"/>
      <c r="K19" s="2088"/>
      <c r="L19" s="2088"/>
      <c r="M19" s="2088"/>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882</v>
      </c>
      <c r="B22" s="867"/>
      <c r="C22" s="83"/>
      <c r="D22" s="81"/>
      <c r="E22" s="81"/>
      <c r="F22" s="81"/>
      <c r="G22" s="81"/>
      <c r="H22" s="81"/>
      <c r="I22" s="81"/>
      <c r="J22" s="81"/>
      <c r="K22" s="81"/>
      <c r="L22" s="81"/>
      <c r="M22" s="81"/>
      <c r="N22" s="80"/>
      <c r="O22" s="83"/>
      <c r="P22" s="81"/>
      <c r="Q22" s="82"/>
    </row>
    <row r="23" spans="1:17" x14ac:dyDescent="0.25">
      <c r="A23" s="996" t="str">
        <f>'A5-Capex'!A24</f>
        <v>Vote 1 - EXECUTIVE AND COUNCIL</v>
      </c>
      <c r="B23" s="737"/>
      <c r="C23" s="2107">
        <v>66666.666599999997</v>
      </c>
      <c r="D23" s="2088">
        <v>66666.666599999997</v>
      </c>
      <c r="E23" s="2088">
        <v>66666.666599999997</v>
      </c>
      <c r="F23" s="2088">
        <v>66666.666599999997</v>
      </c>
      <c r="G23" s="2088">
        <v>66666.666599999997</v>
      </c>
      <c r="H23" s="2088">
        <v>66666.666599999997</v>
      </c>
      <c r="I23" s="2088">
        <v>66666.666599999997</v>
      </c>
      <c r="J23" s="2088">
        <v>66666.666599999997</v>
      </c>
      <c r="K23" s="2088">
        <v>66666.666599999997</v>
      </c>
      <c r="L23" s="2088">
        <v>66666.666599999997</v>
      </c>
      <c r="M23" s="2088">
        <v>66666.666599999997</v>
      </c>
      <c r="N23" s="80">
        <f>O23-SUM(C23:M23)</f>
        <v>66666.667400000035</v>
      </c>
      <c r="O23" s="83">
        <f>'A5-Capex'!J24</f>
        <v>800000</v>
      </c>
      <c r="P23" s="81">
        <f>'A5-Capex'!K24</f>
        <v>0</v>
      </c>
      <c r="Q23" s="82">
        <f>'A5-Capex'!L24</f>
        <v>0</v>
      </c>
    </row>
    <row r="24" spans="1:17" x14ac:dyDescent="0.25">
      <c r="A24" s="996" t="str">
        <f>'A5-Capex'!A25</f>
        <v>Vote 2 - MUNICIPAL MANAGER</v>
      </c>
      <c r="B24" s="737"/>
      <c r="C24" s="2107"/>
      <c r="D24" s="2088"/>
      <c r="E24" s="2088"/>
      <c r="F24" s="2088"/>
      <c r="G24" s="2088"/>
      <c r="H24" s="2088"/>
      <c r="I24" s="2088"/>
      <c r="J24" s="2088"/>
      <c r="K24" s="2088"/>
      <c r="L24" s="2088"/>
      <c r="M24" s="2088"/>
      <c r="N24" s="80">
        <f t="shared" ref="N24:N29" si="3">O24-SUM(C24:M24)</f>
        <v>0</v>
      </c>
      <c r="O24" s="83">
        <f>'A5-Capex'!J25</f>
        <v>0</v>
      </c>
      <c r="P24" s="81">
        <f>'A5-Capex'!K25</f>
        <v>0</v>
      </c>
      <c r="Q24" s="82">
        <f>'A5-Capex'!L25</f>
        <v>0</v>
      </c>
    </row>
    <row r="25" spans="1:17" x14ac:dyDescent="0.25">
      <c r="A25" s="996" t="str">
        <f>'A5-Capex'!A26</f>
        <v>Vote 3 - FINANCE</v>
      </c>
      <c r="B25" s="737"/>
      <c r="C25" s="2107"/>
      <c r="D25" s="2088"/>
      <c r="E25" s="2088"/>
      <c r="F25" s="2088"/>
      <c r="G25" s="2088"/>
      <c r="H25" s="2088"/>
      <c r="I25" s="2088"/>
      <c r="J25" s="2088"/>
      <c r="K25" s="2088"/>
      <c r="L25" s="2088"/>
      <c r="M25" s="2088"/>
      <c r="N25" s="80">
        <f t="shared" si="3"/>
        <v>0</v>
      </c>
      <c r="O25" s="83">
        <f>'A5-Capex'!J26</f>
        <v>0</v>
      </c>
      <c r="P25" s="81">
        <f>'A5-Capex'!K26</f>
        <v>0</v>
      </c>
      <c r="Q25" s="82">
        <f>'A5-Capex'!L26</f>
        <v>0</v>
      </c>
    </row>
    <row r="26" spans="1:17" x14ac:dyDescent="0.25">
      <c r="A26" s="996" t="str">
        <f>'A5-Capex'!A27</f>
        <v>Vote 4 - CORPORATE SERVICES MANAGEMENT</v>
      </c>
      <c r="B26" s="737"/>
      <c r="C26" s="2107">
        <v>80966.666599999997</v>
      </c>
      <c r="D26" s="2088">
        <v>80966.666599999997</v>
      </c>
      <c r="E26" s="2088">
        <v>80966.666599999997</v>
      </c>
      <c r="F26" s="2088">
        <v>80966.666599999997</v>
      </c>
      <c r="G26" s="2088">
        <v>80966.666599999997</v>
      </c>
      <c r="H26" s="2088">
        <v>80966.666599999997</v>
      </c>
      <c r="I26" s="2088">
        <v>80966.666599999997</v>
      </c>
      <c r="J26" s="2088">
        <v>80966.666599999997</v>
      </c>
      <c r="K26" s="2088">
        <v>80966.666599999997</v>
      </c>
      <c r="L26" s="2088">
        <v>80966.666599999997</v>
      </c>
      <c r="M26" s="2088">
        <v>80966.666599999997</v>
      </c>
      <c r="N26" s="80">
        <f t="shared" si="3"/>
        <v>80966.667400000035</v>
      </c>
      <c r="O26" s="83">
        <f>'A5-Capex'!J27</f>
        <v>971600</v>
      </c>
      <c r="P26" s="81">
        <f>'A5-Capex'!K27</f>
        <v>1029896</v>
      </c>
      <c r="Q26" s="82">
        <f>'A5-Capex'!L27</f>
        <v>1091689.76</v>
      </c>
    </row>
    <row r="27" spans="1:17" x14ac:dyDescent="0.25">
      <c r="A27" s="996" t="str">
        <f>'A5-Capex'!A28</f>
        <v>Vote 5 - COMMUNITY SERVICES MANAGEMENT</v>
      </c>
      <c r="B27" s="737"/>
      <c r="C27" s="2107">
        <v>507833.3333</v>
      </c>
      <c r="D27" s="2088">
        <v>507833.3333</v>
      </c>
      <c r="E27" s="2088">
        <v>507833.3333</v>
      </c>
      <c r="F27" s="2088">
        <v>507833.3333</v>
      </c>
      <c r="G27" s="2088">
        <v>507833.3333</v>
      </c>
      <c r="H27" s="2088">
        <v>507833.3333</v>
      </c>
      <c r="I27" s="2088">
        <v>507833.3333</v>
      </c>
      <c r="J27" s="2088">
        <v>507833.3333</v>
      </c>
      <c r="K27" s="2088">
        <v>507833.3333</v>
      </c>
      <c r="L27" s="2088">
        <v>507833.3333</v>
      </c>
      <c r="M27" s="2088">
        <v>507833.3333</v>
      </c>
      <c r="N27" s="80">
        <f t="shared" si="3"/>
        <v>507833.33370000031</v>
      </c>
      <c r="O27" s="83">
        <f>'A5-Capex'!J28</f>
        <v>6094000</v>
      </c>
      <c r="P27" s="81">
        <f>'A5-Capex'!K28</f>
        <v>6459640</v>
      </c>
      <c r="Q27" s="82">
        <f>'A5-Capex'!L28</f>
        <v>6847218.4000000004</v>
      </c>
    </row>
    <row r="28" spans="1:17" x14ac:dyDescent="0.25">
      <c r="A28" s="996" t="str">
        <f>'A5-Capex'!A29</f>
        <v>Vote 6 - TECHNICAL SERVICES</v>
      </c>
      <c r="B28" s="737"/>
      <c r="C28" s="2107">
        <v>4736863.125</v>
      </c>
      <c r="D28" s="2088">
        <v>4736863.125</v>
      </c>
      <c r="E28" s="2088">
        <v>4736863.125</v>
      </c>
      <c r="F28" s="2088">
        <v>4736863.125</v>
      </c>
      <c r="G28" s="2088">
        <v>4736863.125</v>
      </c>
      <c r="H28" s="2088">
        <v>4736863.125</v>
      </c>
      <c r="I28" s="2088">
        <v>4736863.125</v>
      </c>
      <c r="J28" s="2088">
        <v>4736863.125</v>
      </c>
      <c r="K28" s="2088">
        <v>4736863.125</v>
      </c>
      <c r="L28" s="2088">
        <v>4736863.125</v>
      </c>
      <c r="M28" s="2088">
        <v>4736863.125</v>
      </c>
      <c r="N28" s="80">
        <f t="shared" si="3"/>
        <v>4736863.125</v>
      </c>
      <c r="O28" s="83">
        <f>'A5-Capex'!J29</f>
        <v>56842357.5</v>
      </c>
      <c r="P28" s="81">
        <f>'A5-Capex'!K29</f>
        <v>60599878.950000003</v>
      </c>
      <c r="Q28" s="82">
        <f>'A5-Capex'!L29</f>
        <v>64993131.689999998</v>
      </c>
    </row>
    <row r="29" spans="1:17" x14ac:dyDescent="0.25">
      <c r="A29" s="996" t="str">
        <f>'A5-Capex'!A30</f>
        <v xml:space="preserve">Vote 7 - </v>
      </c>
      <c r="B29" s="737"/>
      <c r="C29" s="2107"/>
      <c r="D29" s="2088"/>
      <c r="E29" s="2088"/>
      <c r="F29" s="2088"/>
      <c r="G29" s="2088"/>
      <c r="H29" s="2088"/>
      <c r="I29" s="2088"/>
      <c r="J29" s="2088"/>
      <c r="K29" s="2088"/>
      <c r="L29" s="2088"/>
      <c r="M29" s="2088"/>
      <c r="N29" s="80">
        <f t="shared" si="3"/>
        <v>0</v>
      </c>
      <c r="O29" s="83">
        <f>'A5-Capex'!J30</f>
        <v>0</v>
      </c>
      <c r="P29" s="81">
        <f>'A5-Capex'!K30</f>
        <v>0</v>
      </c>
      <c r="Q29" s="82">
        <f>'A5-Capex'!L30</f>
        <v>0</v>
      </c>
    </row>
    <row r="30" spans="1:17" x14ac:dyDescent="0.25">
      <c r="A30" s="996" t="str">
        <f>'A5-Capex'!A31</f>
        <v xml:space="preserve">Vote 8 - </v>
      </c>
      <c r="B30" s="737"/>
      <c r="C30" s="2107">
        <v>66666.666599999997</v>
      </c>
      <c r="D30" s="2088">
        <v>66666.666599999997</v>
      </c>
      <c r="E30" s="2088">
        <v>66666.666599999997</v>
      </c>
      <c r="F30" s="2088">
        <v>66666.666599999997</v>
      </c>
      <c r="G30" s="2088">
        <v>66666.666599999997</v>
      </c>
      <c r="H30" s="2088">
        <v>66666.666599999997</v>
      </c>
      <c r="I30" s="2088">
        <v>66666.666599999997</v>
      </c>
      <c r="J30" s="2088">
        <v>66666.666599999997</v>
      </c>
      <c r="K30" s="2088">
        <v>66666.666599999997</v>
      </c>
      <c r="L30" s="2088">
        <v>66666.666599999997</v>
      </c>
      <c r="M30" s="2088">
        <v>66666.666599999997</v>
      </c>
      <c r="N30" s="80">
        <f>O30-SUM(C30:M30)</f>
        <v>66666.667400000035</v>
      </c>
      <c r="O30" s="83">
        <f>'A5-Capex'!J31</f>
        <v>800000</v>
      </c>
      <c r="P30" s="81">
        <f>'A5-Capex'!K31</f>
        <v>848000</v>
      </c>
      <c r="Q30" s="82">
        <f>'A5-Capex'!L31</f>
        <v>898880</v>
      </c>
    </row>
    <row r="31" spans="1:17" x14ac:dyDescent="0.25">
      <c r="A31" s="996" t="str">
        <f>'A5-Capex'!A32</f>
        <v>Vote 9 - [NAME OF VOTE 9]</v>
      </c>
      <c r="B31" s="737"/>
      <c r="C31" s="2107"/>
      <c r="D31" s="2088"/>
      <c r="E31" s="2088"/>
      <c r="F31" s="2088"/>
      <c r="G31" s="2088"/>
      <c r="H31" s="2088"/>
      <c r="I31" s="2088"/>
      <c r="J31" s="2088"/>
      <c r="K31" s="2088"/>
      <c r="L31" s="2088"/>
      <c r="M31" s="2088"/>
      <c r="N31" s="80">
        <f>O31-SUM(C31:M31)</f>
        <v>0</v>
      </c>
      <c r="O31" s="83">
        <f>'A5-Capex'!J32</f>
        <v>0</v>
      </c>
      <c r="P31" s="81">
        <f>'A5-Capex'!K32</f>
        <v>0</v>
      </c>
      <c r="Q31" s="82">
        <f>'A5-Capex'!L32</f>
        <v>0</v>
      </c>
    </row>
    <row r="32" spans="1:17" x14ac:dyDescent="0.25">
      <c r="A32" s="996" t="str">
        <f>'A5-Capex'!A33</f>
        <v>Vote 10 - [NAME OF VOTE 10]</v>
      </c>
      <c r="B32" s="737"/>
      <c r="C32" s="2107"/>
      <c r="D32" s="2088"/>
      <c r="E32" s="2088"/>
      <c r="F32" s="2088"/>
      <c r="G32" s="2088"/>
      <c r="H32" s="2088"/>
      <c r="I32" s="2088"/>
      <c r="J32" s="2088"/>
      <c r="K32" s="2088"/>
      <c r="L32" s="2088"/>
      <c r="M32" s="2088"/>
      <c r="N32" s="80">
        <f t="shared" ref="N32:N37" si="4">O32-SUM(C32:M32)</f>
        <v>0</v>
      </c>
      <c r="O32" s="83">
        <f>'A5-Capex'!J33</f>
        <v>0</v>
      </c>
      <c r="P32" s="81">
        <f>'A5-Capex'!K33</f>
        <v>0</v>
      </c>
      <c r="Q32" s="82">
        <f>'A5-Capex'!L33</f>
        <v>0</v>
      </c>
    </row>
    <row r="33" spans="1:20" x14ac:dyDescent="0.25">
      <c r="A33" s="996" t="str">
        <f>'A5-Capex'!A34</f>
        <v>Vote 11 - [NAME OF VOTE 11]</v>
      </c>
      <c r="B33" s="737"/>
      <c r="C33" s="2107"/>
      <c r="D33" s="2088"/>
      <c r="E33" s="2088"/>
      <c r="F33" s="2088"/>
      <c r="G33" s="2088"/>
      <c r="H33" s="2088"/>
      <c r="I33" s="2088"/>
      <c r="J33" s="2088"/>
      <c r="K33" s="2088"/>
      <c r="L33" s="2088"/>
      <c r="M33" s="2088"/>
      <c r="N33" s="80">
        <f t="shared" si="4"/>
        <v>0</v>
      </c>
      <c r="O33" s="83">
        <f>'A5-Capex'!J34</f>
        <v>0</v>
      </c>
      <c r="P33" s="81">
        <f>'A5-Capex'!K34</f>
        <v>0</v>
      </c>
      <c r="Q33" s="82">
        <f>'A5-Capex'!L34</f>
        <v>0</v>
      </c>
    </row>
    <row r="34" spans="1:20" x14ac:dyDescent="0.25">
      <c r="A34" s="996" t="str">
        <f>'A5-Capex'!A35</f>
        <v>Vote 12 - [NAME OF VOTE 12]</v>
      </c>
      <c r="B34" s="737"/>
      <c r="C34" s="2107"/>
      <c r="D34" s="2088"/>
      <c r="E34" s="2088"/>
      <c r="F34" s="2088"/>
      <c r="G34" s="2088"/>
      <c r="H34" s="2088"/>
      <c r="I34" s="2088"/>
      <c r="J34" s="2088"/>
      <c r="K34" s="2088"/>
      <c r="L34" s="2088"/>
      <c r="M34" s="2088"/>
      <c r="N34" s="80">
        <f t="shared" si="4"/>
        <v>0</v>
      </c>
      <c r="O34" s="83">
        <f>'A5-Capex'!J35</f>
        <v>0</v>
      </c>
      <c r="P34" s="81">
        <f>'A5-Capex'!K35</f>
        <v>0</v>
      </c>
      <c r="Q34" s="82">
        <f>'A5-Capex'!L35</f>
        <v>0</v>
      </c>
    </row>
    <row r="35" spans="1:20" x14ac:dyDescent="0.25">
      <c r="A35" s="996" t="str">
        <f>'A5-Capex'!A36</f>
        <v>Vote 13 - [NAME OF VOTE 13]</v>
      </c>
      <c r="B35" s="737"/>
      <c r="C35" s="2107"/>
      <c r="D35" s="2088"/>
      <c r="E35" s="2088"/>
      <c r="F35" s="2088"/>
      <c r="G35" s="2088"/>
      <c r="H35" s="2088"/>
      <c r="I35" s="2088"/>
      <c r="J35" s="2088"/>
      <c r="K35" s="2088"/>
      <c r="L35" s="2088"/>
      <c r="M35" s="2088"/>
      <c r="N35" s="80">
        <f t="shared" si="4"/>
        <v>0</v>
      </c>
      <c r="O35" s="83">
        <f>'A5-Capex'!J36</f>
        <v>0</v>
      </c>
      <c r="P35" s="81">
        <f>'A5-Capex'!K36</f>
        <v>0</v>
      </c>
      <c r="Q35" s="82">
        <f>'A5-Capex'!L36</f>
        <v>0</v>
      </c>
    </row>
    <row r="36" spans="1:20" x14ac:dyDescent="0.25">
      <c r="A36" s="996" t="str">
        <f>'A5-Capex'!A37</f>
        <v>Vote 14 - [NAME OF VOTE 14]</v>
      </c>
      <c r="B36" s="737"/>
      <c r="C36" s="2107"/>
      <c r="D36" s="2088"/>
      <c r="E36" s="2088"/>
      <c r="F36" s="2088"/>
      <c r="G36" s="2088"/>
      <c r="H36" s="2088"/>
      <c r="I36" s="2088"/>
      <c r="J36" s="2088"/>
      <c r="K36" s="2088"/>
      <c r="L36" s="2088"/>
      <c r="M36" s="2088"/>
      <c r="N36" s="80">
        <f t="shared" si="4"/>
        <v>0</v>
      </c>
      <c r="O36" s="83">
        <f>'A5-Capex'!J37</f>
        <v>0</v>
      </c>
      <c r="P36" s="81">
        <f>'A5-Capex'!K37</f>
        <v>0</v>
      </c>
      <c r="Q36" s="82">
        <f>'A5-Capex'!L37</f>
        <v>0</v>
      </c>
    </row>
    <row r="37" spans="1:20" x14ac:dyDescent="0.25">
      <c r="A37" s="996" t="str">
        <f>'A5-Capex'!A38</f>
        <v>Vote 15 - [NAME OF VOTE 15]</v>
      </c>
      <c r="B37" s="737"/>
      <c r="C37" s="2107"/>
      <c r="D37" s="2088"/>
      <c r="E37" s="2088"/>
      <c r="F37" s="2088"/>
      <c r="G37" s="2088"/>
      <c r="H37" s="2088"/>
      <c r="I37" s="2088"/>
      <c r="J37" s="2088"/>
      <c r="K37" s="2088"/>
      <c r="L37" s="2088"/>
      <c r="M37" s="2088"/>
      <c r="N37" s="80">
        <f t="shared" si="4"/>
        <v>0</v>
      </c>
      <c r="O37" s="83">
        <f>'A5-Capex'!J38</f>
        <v>0</v>
      </c>
      <c r="P37" s="81">
        <f>'A5-Capex'!K38</f>
        <v>0</v>
      </c>
      <c r="Q37" s="82">
        <f>'A5-Capex'!L38</f>
        <v>0</v>
      </c>
    </row>
    <row r="38" spans="1:20" x14ac:dyDescent="0.25">
      <c r="A38" s="75" t="s">
        <v>1274</v>
      </c>
      <c r="B38" s="1145">
        <v>2</v>
      </c>
      <c r="C38" s="147">
        <f t="shared" ref="C38:Q38" si="5">SUM(C23:C37)</f>
        <v>5458996.4581000004</v>
      </c>
      <c r="D38" s="145">
        <f t="shared" si="5"/>
        <v>5458996.4581000004</v>
      </c>
      <c r="E38" s="145">
        <f t="shared" si="5"/>
        <v>5458996.4581000004</v>
      </c>
      <c r="F38" s="145">
        <f t="shared" si="5"/>
        <v>5458996.4581000004</v>
      </c>
      <c r="G38" s="145">
        <f t="shared" si="5"/>
        <v>5458996.4581000004</v>
      </c>
      <c r="H38" s="145">
        <f t="shared" si="5"/>
        <v>5458996.4581000004</v>
      </c>
      <c r="I38" s="145">
        <f t="shared" si="5"/>
        <v>5458996.4581000004</v>
      </c>
      <c r="J38" s="145">
        <f t="shared" si="5"/>
        <v>5458996.4581000004</v>
      </c>
      <c r="K38" s="145">
        <f t="shared" si="5"/>
        <v>5458996.4581000004</v>
      </c>
      <c r="L38" s="145">
        <f t="shared" si="5"/>
        <v>5458996.4581000004</v>
      </c>
      <c r="M38" s="145">
        <f t="shared" si="5"/>
        <v>5458996.4581000004</v>
      </c>
      <c r="N38" s="144">
        <f t="shared" si="5"/>
        <v>5458996.4609000003</v>
      </c>
      <c r="O38" s="147">
        <f t="shared" si="5"/>
        <v>65507957.5</v>
      </c>
      <c r="P38" s="145">
        <f t="shared" si="5"/>
        <v>68937414.950000003</v>
      </c>
      <c r="Q38" s="146">
        <f t="shared" si="5"/>
        <v>73830919.849999994</v>
      </c>
    </row>
    <row r="39" spans="1:20" x14ac:dyDescent="0.25">
      <c r="A39" s="722" t="s">
        <v>576</v>
      </c>
      <c r="B39" s="754">
        <v>2</v>
      </c>
      <c r="C39" s="231">
        <f>C20+C38</f>
        <v>5458996.4581000004</v>
      </c>
      <c r="D39" s="105">
        <f t="shared" ref="D39:N39" si="6">D20+D38</f>
        <v>5458996.4581000004</v>
      </c>
      <c r="E39" s="105">
        <f t="shared" si="6"/>
        <v>5458996.4581000004</v>
      </c>
      <c r="F39" s="105">
        <f t="shared" si="6"/>
        <v>5458996.4581000004</v>
      </c>
      <c r="G39" s="105">
        <f t="shared" si="6"/>
        <v>5458996.4581000004</v>
      </c>
      <c r="H39" s="105">
        <f t="shared" si="6"/>
        <v>5458996.4581000004</v>
      </c>
      <c r="I39" s="105">
        <f t="shared" si="6"/>
        <v>5458996.4581000004</v>
      </c>
      <c r="J39" s="105">
        <f t="shared" si="6"/>
        <v>5458996.4581000004</v>
      </c>
      <c r="K39" s="105">
        <f t="shared" si="6"/>
        <v>5458996.4581000004</v>
      </c>
      <c r="L39" s="105">
        <f t="shared" si="6"/>
        <v>5458996.4581000004</v>
      </c>
      <c r="M39" s="105">
        <f t="shared" si="6"/>
        <v>5458996.4581000004</v>
      </c>
      <c r="N39" s="104">
        <f t="shared" si="6"/>
        <v>5458996.4609000003</v>
      </c>
      <c r="O39" s="231">
        <f>O20+O38</f>
        <v>65507957.5</v>
      </c>
      <c r="P39" s="105">
        <f>P20+P38</f>
        <v>68937414.950000003</v>
      </c>
      <c r="Q39" s="230">
        <f>Q20+Q38</f>
        <v>73830919.849999994</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748</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1455</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70" zoomScaleNormal="100" workbookViewId="0">
      <selection activeCell="C73" sqref="C73"/>
    </sheetView>
  </sheetViews>
  <sheetFormatPr defaultRowHeight="11.25" x14ac:dyDescent="0.2"/>
  <cols>
    <col min="1" max="1" width="37.5703125" style="1677" customWidth="1"/>
    <col min="2" max="2" width="33.42578125" style="1681" customWidth="1"/>
    <col min="3" max="3" width="47.85546875" style="1682" customWidth="1"/>
    <col min="4" max="4" width="20" style="1677" hidden="1" customWidth="1"/>
    <col min="5" max="5" width="43.42578125" style="1677" customWidth="1"/>
    <col min="6" max="16384" width="9.140625" style="1677"/>
  </cols>
  <sheetData>
    <row r="1" spans="1:5" ht="35.25" customHeight="1" x14ac:dyDescent="0.2">
      <c r="A1" s="1674" t="s">
        <v>1917</v>
      </c>
      <c r="B1" s="1675"/>
      <c r="C1" s="1676" t="s">
        <v>1916</v>
      </c>
      <c r="E1" s="1674" t="s">
        <v>1932</v>
      </c>
    </row>
    <row r="2" spans="1:5" x14ac:dyDescent="0.2">
      <c r="A2" s="1677" t="str">
        <f>B2&amp;" - "&amp;C2</f>
        <v>Vote 1 - EXECUTIVE AND COUNCIL</v>
      </c>
      <c r="B2" s="1678" t="s">
        <v>1870</v>
      </c>
      <c r="C2" s="2076" t="s">
        <v>2239</v>
      </c>
      <c r="E2" s="1766"/>
    </row>
    <row r="3" spans="1:5" x14ac:dyDescent="0.2">
      <c r="A3" s="1677" t="str">
        <f>B13&amp;" - "&amp; C13</f>
        <v>Vote 2 - MUNICIPAL MANAGER</v>
      </c>
      <c r="B3" s="1679">
        <v>1.1000000000000001</v>
      </c>
      <c r="C3" s="2077" t="s">
        <v>2240</v>
      </c>
      <c r="D3" s="1677" t="s">
        <v>2241</v>
      </c>
      <c r="E3" s="1767" t="s">
        <v>2241</v>
      </c>
    </row>
    <row r="4" spans="1:5" x14ac:dyDescent="0.2">
      <c r="A4" s="1677" t="str">
        <f>B24&amp;" - "&amp;C24</f>
        <v>Vote 3 - FINANCE</v>
      </c>
      <c r="B4" s="1679">
        <v>1.2</v>
      </c>
      <c r="C4" s="2077"/>
      <c r="D4" s="1677" t="str">
        <f t="shared" ref="D4:D12" si="0">CONCATENATE(B4, " - ", C4)</f>
        <v xml:space="preserve">1.2 - </v>
      </c>
      <c r="E4" s="1767"/>
    </row>
    <row r="5" spans="1:5" x14ac:dyDescent="0.2">
      <c r="A5" s="1677" t="str">
        <f>B35&amp;" - "&amp;C35</f>
        <v>Vote 4 - CORPORATE SERVICES MANAGEMENT</v>
      </c>
      <c r="B5" s="1679">
        <v>1.3</v>
      </c>
      <c r="C5" s="2077"/>
      <c r="D5" s="1677" t="str">
        <f t="shared" si="0"/>
        <v xml:space="preserve">1.3 - </v>
      </c>
      <c r="E5" s="1767"/>
    </row>
    <row r="6" spans="1:5" x14ac:dyDescent="0.2">
      <c r="A6" s="1677" t="str">
        <f>B46&amp;" - "&amp;C46</f>
        <v>Vote 5 - COMMUNITY SERVICES MANAGEMENT</v>
      </c>
      <c r="B6" s="1679">
        <v>1.4</v>
      </c>
      <c r="C6" s="2077"/>
      <c r="D6" s="1677" t="str">
        <f t="shared" si="0"/>
        <v xml:space="preserve">1.4 - </v>
      </c>
      <c r="E6" s="1767"/>
    </row>
    <row r="7" spans="1:5" x14ac:dyDescent="0.2">
      <c r="A7" s="1677" t="str">
        <f>B57&amp;" - "&amp;C57</f>
        <v>Vote 6 - TECHNICAL SERVICES</v>
      </c>
      <c r="B7" s="1679">
        <v>1.5</v>
      </c>
      <c r="C7" s="2077"/>
      <c r="D7" s="1677" t="str">
        <f t="shared" si="0"/>
        <v xml:space="preserve">1.5 - </v>
      </c>
      <c r="E7" s="1767"/>
    </row>
    <row r="8" spans="1:5" x14ac:dyDescent="0.2">
      <c r="A8" s="1677" t="str">
        <f>B68&amp;" - "&amp;C65</f>
        <v xml:space="preserve">Vote 7 - </v>
      </c>
      <c r="B8" s="1679">
        <v>1.6</v>
      </c>
      <c r="C8" s="2077"/>
      <c r="D8" s="1677" t="str">
        <f t="shared" si="0"/>
        <v xml:space="preserve">1.6 - </v>
      </c>
      <c r="E8" s="1767"/>
    </row>
    <row r="9" spans="1:5" x14ac:dyDescent="0.2">
      <c r="A9" s="1677" t="str">
        <f>B79&amp;" - "&amp;C79</f>
        <v xml:space="preserve">Vote 8 - </v>
      </c>
      <c r="B9" s="1679">
        <v>1.7</v>
      </c>
      <c r="C9" s="2077"/>
      <c r="D9" s="1677" t="str">
        <f t="shared" si="0"/>
        <v xml:space="preserve">1.7 - </v>
      </c>
      <c r="E9" s="1767"/>
    </row>
    <row r="10" spans="1:5" x14ac:dyDescent="0.2">
      <c r="A10" s="1677" t="str">
        <f>B90&amp;" - "&amp;C90</f>
        <v>Vote 9 - [NAME OF VOTE 9]</v>
      </c>
      <c r="B10" s="1679">
        <v>1.8</v>
      </c>
      <c r="C10" s="2077"/>
      <c r="D10" s="1677" t="str">
        <f t="shared" si="0"/>
        <v xml:space="preserve">1.8 - </v>
      </c>
      <c r="E10" s="1767"/>
    </row>
    <row r="11" spans="1:5" x14ac:dyDescent="0.2">
      <c r="A11" s="1677" t="str">
        <f>B101&amp;" - "&amp;C101</f>
        <v>Vote 10 - [NAME OF VOTE 10]</v>
      </c>
      <c r="B11" s="1679">
        <v>1.9</v>
      </c>
      <c r="C11" s="2077"/>
      <c r="D11" s="1677" t="str">
        <f t="shared" si="0"/>
        <v xml:space="preserve">1.9 - </v>
      </c>
      <c r="E11" s="1767"/>
    </row>
    <row r="12" spans="1:5" x14ac:dyDescent="0.2">
      <c r="A12" s="1677" t="str">
        <f>B112&amp;" - "&amp;C112</f>
        <v>Vote 11 - [NAME OF VOTE 11]</v>
      </c>
      <c r="B12" s="1679" t="s">
        <v>1901</v>
      </c>
      <c r="C12" s="2077"/>
      <c r="D12" s="1677" t="str">
        <f t="shared" si="0"/>
        <v xml:space="preserve">1.10 - </v>
      </c>
      <c r="E12" s="1767"/>
    </row>
    <row r="13" spans="1:5" x14ac:dyDescent="0.2">
      <c r="A13" s="1677" t="str">
        <f>B123&amp;" - "&amp;C123</f>
        <v>Vote 12 - [NAME OF VOTE 12]</v>
      </c>
      <c r="B13" s="1678" t="s">
        <v>1871</v>
      </c>
      <c r="C13" s="2076" t="s">
        <v>2242</v>
      </c>
      <c r="E13" s="1766"/>
    </row>
    <row r="14" spans="1:5" x14ac:dyDescent="0.2">
      <c r="A14" s="1677" t="str">
        <f>B134&amp;" - "&amp;C134</f>
        <v>Vote 13 - [NAME OF VOTE 13]</v>
      </c>
      <c r="B14" s="1679">
        <v>2.1</v>
      </c>
      <c r="C14" s="2077" t="s">
        <v>2242</v>
      </c>
      <c r="D14" s="1677" t="s">
        <v>2243</v>
      </c>
      <c r="E14" s="1767" t="s">
        <v>2243</v>
      </c>
    </row>
    <row r="15" spans="1:5" x14ac:dyDescent="0.2">
      <c r="A15" s="1677" t="str">
        <f>B145&amp;" - "&amp;C145</f>
        <v>Vote 14 - [NAME OF VOTE 14]</v>
      </c>
      <c r="B15" s="1679">
        <v>2.2000000000000002</v>
      </c>
      <c r="C15" s="2077" t="s">
        <v>2286</v>
      </c>
      <c r="D15" s="1677" t="str">
        <f t="shared" ref="D15:D23" si="1">CONCATENATE(B15, " - ", C15)</f>
        <v>2.2 - URBAN RENEWAL</v>
      </c>
      <c r="E15" s="1767" t="s">
        <v>2287</v>
      </c>
    </row>
    <row r="16" spans="1:5" x14ac:dyDescent="0.2">
      <c r="A16" s="1677" t="str">
        <f>B156&amp;" - "&amp;C156</f>
        <v>Vote 15 - [NAME OF VOTE 15]</v>
      </c>
      <c r="B16" s="1679">
        <v>2.2999999999999998</v>
      </c>
      <c r="C16" s="2077"/>
      <c r="D16" s="1677" t="str">
        <f t="shared" si="1"/>
        <v xml:space="preserve">2.3 - </v>
      </c>
      <c r="E16" s="1767"/>
    </row>
    <row r="17" spans="1:5" x14ac:dyDescent="0.2">
      <c r="B17" s="1679">
        <v>2.4</v>
      </c>
      <c r="C17" s="2077"/>
      <c r="D17" s="1677" t="str">
        <f t="shared" si="1"/>
        <v xml:space="preserve">2.4 - </v>
      </c>
      <c r="E17" s="1767"/>
    </row>
    <row r="18" spans="1:5" x14ac:dyDescent="0.2">
      <c r="B18" s="1679">
        <v>2.5</v>
      </c>
      <c r="C18" s="2077"/>
      <c r="D18" s="1677" t="str">
        <f t="shared" si="1"/>
        <v xml:space="preserve">2.5 - </v>
      </c>
      <c r="E18" s="1767"/>
    </row>
    <row r="19" spans="1:5" x14ac:dyDescent="0.2">
      <c r="B19" s="1679">
        <v>2.6</v>
      </c>
      <c r="C19" s="2077"/>
      <c r="D19" s="1677" t="str">
        <f t="shared" si="1"/>
        <v xml:space="preserve">2.6 - </v>
      </c>
      <c r="E19" s="1767"/>
    </row>
    <row r="20" spans="1:5" x14ac:dyDescent="0.2">
      <c r="B20" s="1679">
        <v>2.7</v>
      </c>
      <c r="C20" s="2077"/>
      <c r="D20" s="1677" t="str">
        <f t="shared" si="1"/>
        <v xml:space="preserve">2.7 - </v>
      </c>
      <c r="E20" s="1767"/>
    </row>
    <row r="21" spans="1:5" x14ac:dyDescent="0.2">
      <c r="A21" s="1766"/>
      <c r="B21" s="1679">
        <v>2.8</v>
      </c>
      <c r="C21" s="2077"/>
      <c r="D21" s="1677" t="str">
        <f t="shared" si="1"/>
        <v xml:space="preserve">2.8 - </v>
      </c>
      <c r="E21" s="1767"/>
    </row>
    <row r="22" spans="1:5" x14ac:dyDescent="0.2">
      <c r="B22" s="1679">
        <v>2.9</v>
      </c>
      <c r="C22" s="2077"/>
      <c r="D22" s="1677" t="str">
        <f t="shared" si="1"/>
        <v xml:space="preserve">2.9 - </v>
      </c>
      <c r="E22" s="1767"/>
    </row>
    <row r="23" spans="1:5" x14ac:dyDescent="0.2">
      <c r="B23" s="1679" t="s">
        <v>1902</v>
      </c>
      <c r="C23" s="2077"/>
      <c r="D23" s="1677" t="str">
        <f t="shared" si="1"/>
        <v xml:space="preserve">2.10 - </v>
      </c>
      <c r="E23" s="1767"/>
    </row>
    <row r="24" spans="1:5" x14ac:dyDescent="0.2">
      <c r="B24" s="1678" t="s">
        <v>1872</v>
      </c>
      <c r="C24" s="2076" t="s">
        <v>2244</v>
      </c>
      <c r="E24" s="1767"/>
    </row>
    <row r="25" spans="1:5" x14ac:dyDescent="0.2">
      <c r="B25" s="1679">
        <v>3.1</v>
      </c>
      <c r="C25" s="2077" t="s">
        <v>2244</v>
      </c>
      <c r="D25" s="1677" t="s">
        <v>2245</v>
      </c>
      <c r="E25" s="1767" t="s">
        <v>2245</v>
      </c>
    </row>
    <row r="26" spans="1:5" x14ac:dyDescent="0.2">
      <c r="B26" s="1679">
        <v>3.2</v>
      </c>
      <c r="C26" s="2077" t="s">
        <v>2246</v>
      </c>
      <c r="D26" s="1677" t="s">
        <v>2247</v>
      </c>
      <c r="E26" s="1767" t="s">
        <v>2247</v>
      </c>
    </row>
    <row r="27" spans="1:5" x14ac:dyDescent="0.2">
      <c r="B27" s="1679">
        <v>3.3</v>
      </c>
      <c r="C27" s="2077" t="s">
        <v>2248</v>
      </c>
      <c r="D27" s="1677" t="str">
        <f t="shared" ref="D27:D34" si="2">CONCATENATE(B27, " - ", C27)</f>
        <v>3.3 - FLEET</v>
      </c>
      <c r="E27" s="1767" t="s">
        <v>2249</v>
      </c>
    </row>
    <row r="28" spans="1:5" x14ac:dyDescent="0.2">
      <c r="B28" s="1679">
        <v>3.4</v>
      </c>
      <c r="C28" s="2077"/>
      <c r="D28" s="1677" t="str">
        <f t="shared" si="2"/>
        <v xml:space="preserve">3.4 - </v>
      </c>
      <c r="E28" s="1767"/>
    </row>
    <row r="29" spans="1:5" x14ac:dyDescent="0.2">
      <c r="B29" s="1679">
        <v>3.5</v>
      </c>
      <c r="C29" s="2077"/>
      <c r="D29" s="1677" t="str">
        <f t="shared" si="2"/>
        <v xml:space="preserve">3.5 - </v>
      </c>
      <c r="E29" s="1767"/>
    </row>
    <row r="30" spans="1:5" x14ac:dyDescent="0.2">
      <c r="B30" s="1679">
        <v>3.6</v>
      </c>
      <c r="C30" s="2077"/>
      <c r="D30" s="1677" t="str">
        <f t="shared" si="2"/>
        <v xml:space="preserve">3.6 - </v>
      </c>
      <c r="E30" s="1767"/>
    </row>
    <row r="31" spans="1:5" x14ac:dyDescent="0.2">
      <c r="B31" s="1679">
        <v>3.7</v>
      </c>
      <c r="C31" s="2077"/>
      <c r="D31" s="1677" t="str">
        <f t="shared" si="2"/>
        <v xml:space="preserve">3.7 - </v>
      </c>
      <c r="E31" s="1767"/>
    </row>
    <row r="32" spans="1:5" x14ac:dyDescent="0.2">
      <c r="B32" s="1679">
        <v>3.8</v>
      </c>
      <c r="C32" s="2077"/>
      <c r="D32" s="1677" t="str">
        <f t="shared" si="2"/>
        <v xml:space="preserve">3.8 - </v>
      </c>
      <c r="E32" s="1767"/>
    </row>
    <row r="33" spans="2:5" x14ac:dyDescent="0.2">
      <c r="B33" s="1679">
        <v>3.9</v>
      </c>
      <c r="C33" s="2077"/>
      <c r="D33" s="1677" t="str">
        <f t="shared" si="2"/>
        <v xml:space="preserve">3.9 - </v>
      </c>
      <c r="E33" s="1767"/>
    </row>
    <row r="34" spans="2:5" x14ac:dyDescent="0.2">
      <c r="B34" s="1679" t="s">
        <v>1903</v>
      </c>
      <c r="C34" s="2077"/>
      <c r="D34" s="1677" t="str">
        <f t="shared" si="2"/>
        <v xml:space="preserve">3.10 - </v>
      </c>
      <c r="E34" s="1767"/>
    </row>
    <row r="35" spans="2:5" x14ac:dyDescent="0.2">
      <c r="B35" s="1678" t="s">
        <v>1873</v>
      </c>
      <c r="C35" s="2076" t="s">
        <v>2256</v>
      </c>
      <c r="E35" s="1767"/>
    </row>
    <row r="36" spans="2:5" x14ac:dyDescent="0.2">
      <c r="B36" s="1679">
        <v>4.0999999999999996</v>
      </c>
      <c r="C36" s="2077"/>
      <c r="D36" s="1677" t="s">
        <v>2251</v>
      </c>
      <c r="E36" s="1767"/>
    </row>
    <row r="37" spans="2:5" x14ac:dyDescent="0.2">
      <c r="B37" s="1679">
        <v>4.2</v>
      </c>
      <c r="C37" s="2077" t="s">
        <v>2252</v>
      </c>
      <c r="D37" s="1677" t="s">
        <v>2253</v>
      </c>
      <c r="E37" s="1767" t="s">
        <v>2253</v>
      </c>
    </row>
    <row r="38" spans="2:5" x14ac:dyDescent="0.2">
      <c r="B38" s="1679">
        <v>4.3</v>
      </c>
      <c r="C38" s="2077" t="s">
        <v>2254</v>
      </c>
      <c r="D38" s="1677" t="s">
        <v>2255</v>
      </c>
      <c r="E38" s="1767" t="s">
        <v>2255</v>
      </c>
    </row>
    <row r="39" spans="2:5" x14ac:dyDescent="0.2">
      <c r="B39" s="1679">
        <v>4.4000000000000004</v>
      </c>
      <c r="C39" s="2077" t="s">
        <v>2256</v>
      </c>
      <c r="D39" s="1677" t="s">
        <v>2257</v>
      </c>
      <c r="E39" s="1767" t="s">
        <v>2257</v>
      </c>
    </row>
    <row r="40" spans="2:5" x14ac:dyDescent="0.2">
      <c r="B40" s="1679">
        <v>4.5</v>
      </c>
      <c r="C40" s="2077"/>
      <c r="D40" s="1677" t="s">
        <v>2258</v>
      </c>
      <c r="E40" s="1767"/>
    </row>
    <row r="41" spans="2:5" x14ac:dyDescent="0.2">
      <c r="B41" s="1679">
        <v>4.5999999999999996</v>
      </c>
      <c r="C41" s="2077"/>
      <c r="D41" s="1677" t="str">
        <f>CONCATENATE(B41, " - ", C41)</f>
        <v xml:space="preserve">4.6 - </v>
      </c>
      <c r="E41" s="1767"/>
    </row>
    <row r="42" spans="2:5" x14ac:dyDescent="0.2">
      <c r="B42" s="1679">
        <v>4.7</v>
      </c>
      <c r="C42" s="2077"/>
      <c r="D42" s="1677" t="str">
        <f>CONCATENATE(B42, " - ", C42)</f>
        <v xml:space="preserve">4.7 - </v>
      </c>
      <c r="E42" s="1767"/>
    </row>
    <row r="43" spans="2:5" x14ac:dyDescent="0.2">
      <c r="B43" s="1679">
        <v>4.8</v>
      </c>
      <c r="C43" s="2077"/>
      <c r="D43" s="1677" t="str">
        <f>CONCATENATE(B43, " - ", C43)</f>
        <v xml:space="preserve">4.8 - </v>
      </c>
      <c r="E43" s="1767"/>
    </row>
    <row r="44" spans="2:5" x14ac:dyDescent="0.2">
      <c r="B44" s="1679">
        <v>4.9000000000000004</v>
      </c>
      <c r="C44" s="2077"/>
      <c r="D44" s="1677" t="str">
        <f>CONCATENATE(B44, " - ", C44)</f>
        <v xml:space="preserve">4.9 - </v>
      </c>
      <c r="E44" s="1767"/>
    </row>
    <row r="45" spans="2:5" x14ac:dyDescent="0.2">
      <c r="B45" s="1679" t="s">
        <v>1904</v>
      </c>
      <c r="C45" s="2077"/>
      <c r="D45" s="1677" t="str">
        <f>CONCATENATE(B45, " - ", C45)</f>
        <v xml:space="preserve">4.10 - </v>
      </c>
      <c r="E45" s="1767"/>
    </row>
    <row r="46" spans="2:5" x14ac:dyDescent="0.2">
      <c r="B46" s="1678" t="s">
        <v>1874</v>
      </c>
      <c r="C46" s="2076" t="s">
        <v>2250</v>
      </c>
      <c r="E46" s="1767"/>
    </row>
    <row r="47" spans="2:5" x14ac:dyDescent="0.2">
      <c r="B47" s="1679">
        <v>5.0999999999999996</v>
      </c>
      <c r="C47" s="2077" t="s">
        <v>2250</v>
      </c>
      <c r="D47" s="1677" t="s">
        <v>2259</v>
      </c>
      <c r="E47" s="1767" t="s">
        <v>2259</v>
      </c>
    </row>
    <row r="48" spans="2:5" x14ac:dyDescent="0.2">
      <c r="B48" s="1679">
        <v>5.2</v>
      </c>
      <c r="C48" s="2077" t="s">
        <v>2260</v>
      </c>
      <c r="D48" s="1677" t="s">
        <v>2261</v>
      </c>
      <c r="E48" s="1767" t="s">
        <v>2261</v>
      </c>
    </row>
    <row r="49" spans="2:5" x14ac:dyDescent="0.2">
      <c r="B49" s="1679">
        <v>5.3</v>
      </c>
      <c r="C49" s="2077" t="s">
        <v>2262</v>
      </c>
      <c r="D49" s="1677" t="s">
        <v>2263</v>
      </c>
      <c r="E49" s="1767" t="s">
        <v>2263</v>
      </c>
    </row>
    <row r="50" spans="2:5" x14ac:dyDescent="0.2">
      <c r="B50" s="1679">
        <v>5.4</v>
      </c>
      <c r="C50" s="2077" t="s">
        <v>2264</v>
      </c>
      <c r="D50" s="1677" t="s">
        <v>2265</v>
      </c>
      <c r="E50" s="1767" t="s">
        <v>2265</v>
      </c>
    </row>
    <row r="51" spans="2:5" x14ac:dyDescent="0.2">
      <c r="B51" s="1679">
        <v>5.5</v>
      </c>
      <c r="C51" s="2077" t="s">
        <v>2266</v>
      </c>
      <c r="D51" s="1677" t="s">
        <v>2267</v>
      </c>
      <c r="E51" s="1767" t="s">
        <v>2267</v>
      </c>
    </row>
    <row r="52" spans="2:5" x14ac:dyDescent="0.2">
      <c r="B52" s="1679">
        <v>5.6</v>
      </c>
      <c r="C52" s="2077" t="s">
        <v>2268</v>
      </c>
      <c r="D52" s="1677" t="s">
        <v>2269</v>
      </c>
      <c r="E52" s="1767" t="s">
        <v>2269</v>
      </c>
    </row>
    <row r="53" spans="2:5" x14ac:dyDescent="0.2">
      <c r="B53" s="1679">
        <v>5.7</v>
      </c>
      <c r="C53" s="2077" t="s">
        <v>2270</v>
      </c>
      <c r="D53" s="1677" t="s">
        <v>2271</v>
      </c>
      <c r="E53" s="1767" t="s">
        <v>2271</v>
      </c>
    </row>
    <row r="54" spans="2:5" x14ac:dyDescent="0.2">
      <c r="B54" s="1679">
        <v>5.8</v>
      </c>
      <c r="C54" s="2077" t="s">
        <v>2295</v>
      </c>
      <c r="D54" s="1677" t="str">
        <f>CONCATENATE(B54, " - ", C54)</f>
        <v>5.8 - SPORTS ARTS AND CULTURE</v>
      </c>
      <c r="E54" s="1767" t="s">
        <v>2296</v>
      </c>
    </row>
    <row r="55" spans="2:5" x14ac:dyDescent="0.2">
      <c r="B55" s="1679">
        <v>5.9</v>
      </c>
      <c r="C55" s="2077" t="s">
        <v>2297</v>
      </c>
      <c r="D55" s="1677" t="str">
        <f>CONCATENATE(B55, " - ", C55)</f>
        <v>5.9 - HIV/AIDS</v>
      </c>
      <c r="E55" s="1767" t="s">
        <v>2298</v>
      </c>
    </row>
    <row r="56" spans="2:5" x14ac:dyDescent="0.2">
      <c r="B56" s="1679" t="s">
        <v>1905</v>
      </c>
      <c r="C56" s="2077"/>
      <c r="D56" s="1677" t="str">
        <f>CONCATENATE(B56, " - ", C56)</f>
        <v xml:space="preserve">5.10 - </v>
      </c>
      <c r="E56" s="1767"/>
    </row>
    <row r="57" spans="2:5" x14ac:dyDescent="0.2">
      <c r="B57" s="1678" t="s">
        <v>1875</v>
      </c>
      <c r="C57" s="2076" t="s">
        <v>2272</v>
      </c>
      <c r="E57" s="1767"/>
    </row>
    <row r="58" spans="2:5" x14ac:dyDescent="0.2">
      <c r="B58" s="1679">
        <v>6.1</v>
      </c>
      <c r="C58" s="2077" t="s">
        <v>2273</v>
      </c>
      <c r="D58" s="1677" t="s">
        <v>2274</v>
      </c>
      <c r="E58" s="1767" t="s">
        <v>2274</v>
      </c>
    </row>
    <row r="59" spans="2:5" x14ac:dyDescent="0.2">
      <c r="B59" s="1679">
        <v>6.2</v>
      </c>
      <c r="C59" s="2077" t="s">
        <v>2288</v>
      </c>
      <c r="D59" s="1677" t="s">
        <v>2276</v>
      </c>
      <c r="E59" s="1767" t="s">
        <v>2277</v>
      </c>
    </row>
    <row r="60" spans="2:5" x14ac:dyDescent="0.2">
      <c r="B60" s="1679">
        <v>6.3</v>
      </c>
      <c r="C60" s="2077" t="s">
        <v>2275</v>
      </c>
      <c r="D60" s="1677" t="s">
        <v>2278</v>
      </c>
      <c r="E60" s="1767" t="s">
        <v>2278</v>
      </c>
    </row>
    <row r="61" spans="2:5" x14ac:dyDescent="0.2">
      <c r="B61" s="1679">
        <v>6.4</v>
      </c>
      <c r="C61" s="2077" t="s">
        <v>2280</v>
      </c>
      <c r="D61" s="1677" t="s">
        <v>2279</v>
      </c>
      <c r="E61" s="1767" t="s">
        <v>2279</v>
      </c>
    </row>
    <row r="62" spans="2:5" x14ac:dyDescent="0.2">
      <c r="B62" s="1679">
        <v>6.5</v>
      </c>
      <c r="C62" s="2077" t="s">
        <v>2282</v>
      </c>
      <c r="D62" s="1677" t="s">
        <v>2281</v>
      </c>
      <c r="E62" s="1767" t="s">
        <v>2281</v>
      </c>
    </row>
    <row r="63" spans="2:5" x14ac:dyDescent="0.2">
      <c r="B63" s="1679">
        <v>6.6</v>
      </c>
      <c r="C63" s="2077" t="s">
        <v>2248</v>
      </c>
      <c r="D63" s="1677" t="s">
        <v>2283</v>
      </c>
      <c r="E63" s="1767" t="s">
        <v>2283</v>
      </c>
    </row>
    <row r="64" spans="2:5" x14ac:dyDescent="0.2">
      <c r="B64" s="1679">
        <v>6.7</v>
      </c>
      <c r="C64" s="2077" t="s">
        <v>2284</v>
      </c>
      <c r="D64" s="1677" t="s">
        <v>2285</v>
      </c>
      <c r="E64" s="1767" t="s">
        <v>2285</v>
      </c>
    </row>
    <row r="65" spans="2:5" x14ac:dyDescent="0.2">
      <c r="B65" s="1679">
        <v>6.8</v>
      </c>
      <c r="C65" s="2614"/>
      <c r="D65" s="1677" t="str">
        <f>CONCATENATE(B65, " - ", C62)</f>
        <v>6.8 - ROADS &amp; STORMWATER</v>
      </c>
      <c r="E65" s="1767"/>
    </row>
    <row r="66" spans="2:5" x14ac:dyDescent="0.2">
      <c r="B66" s="1679">
        <v>6.9</v>
      </c>
      <c r="C66" s="2077"/>
      <c r="D66" s="1677" t="str">
        <f>CONCATENATE(B66, " - ", C63)</f>
        <v>6.9 - FLEET</v>
      </c>
      <c r="E66" s="1767"/>
    </row>
    <row r="67" spans="2:5" x14ac:dyDescent="0.2">
      <c r="B67" s="1679" t="s">
        <v>1906</v>
      </c>
      <c r="C67" s="2077"/>
      <c r="D67" s="1677" t="str">
        <f>CONCATENATE(B67, " - ", C64)</f>
        <v>6.10 - SEWERAGE NETWORK</v>
      </c>
      <c r="E67" s="1767"/>
    </row>
    <row r="68" spans="2:5" x14ac:dyDescent="0.2">
      <c r="B68" s="1680" t="s">
        <v>1876</v>
      </c>
      <c r="C68" s="2076" t="s">
        <v>2424</v>
      </c>
      <c r="E68" s="1767"/>
    </row>
    <row r="69" spans="2:5" x14ac:dyDescent="0.2">
      <c r="B69" s="1679">
        <v>7.1</v>
      </c>
      <c r="C69" s="2077" t="s">
        <v>2280</v>
      </c>
      <c r="D69" s="1677" t="str">
        <f t="shared" ref="D69:D74" si="3">CONCATENATE(B69, " - ", C66)</f>
        <v xml:space="preserve">7.1 - </v>
      </c>
      <c r="E69" s="1767" t="s">
        <v>2426</v>
      </c>
    </row>
    <row r="70" spans="2:5" x14ac:dyDescent="0.2">
      <c r="B70" s="1679">
        <v>7.2</v>
      </c>
      <c r="C70" s="2077" t="s">
        <v>2286</v>
      </c>
      <c r="D70" s="1677" t="str">
        <f t="shared" si="3"/>
        <v xml:space="preserve">7.2 - </v>
      </c>
      <c r="E70" s="1767" t="s">
        <v>2425</v>
      </c>
    </row>
    <row r="71" spans="2:5" x14ac:dyDescent="0.2">
      <c r="B71" s="1679">
        <v>7.3</v>
      </c>
      <c r="C71" s="2077"/>
      <c r="D71" s="1677" t="str">
        <f t="shared" si="3"/>
        <v>7.3 - PLANNING &amp; ECONOMIC DEVELOPMENT</v>
      </c>
      <c r="E71" s="1767"/>
    </row>
    <row r="72" spans="2:5" x14ac:dyDescent="0.2">
      <c r="B72" s="1679">
        <v>7.4</v>
      </c>
      <c r="C72" s="2077"/>
      <c r="D72" s="1677" t="str">
        <f t="shared" si="3"/>
        <v>7.4 - HOUSING &amp; BUILDING CONTROL</v>
      </c>
      <c r="E72" s="1767"/>
    </row>
    <row r="73" spans="2:5" x14ac:dyDescent="0.2">
      <c r="B73" s="1679">
        <v>7.5</v>
      </c>
      <c r="C73" s="2077"/>
      <c r="D73" s="1677" t="str">
        <f t="shared" si="3"/>
        <v>7.5 - URBAN RENEWAL</v>
      </c>
      <c r="E73" s="1767"/>
    </row>
    <row r="74" spans="2:5" x14ac:dyDescent="0.2">
      <c r="B74" s="1679">
        <v>7.6</v>
      </c>
      <c r="C74" s="2077"/>
      <c r="D74" s="1677" t="str">
        <f t="shared" si="3"/>
        <v xml:space="preserve">7.6 - </v>
      </c>
      <c r="E74" s="1767"/>
    </row>
    <row r="75" spans="2:5" x14ac:dyDescent="0.2">
      <c r="B75" s="1679">
        <v>7.7</v>
      </c>
      <c r="C75" s="2077"/>
      <c r="D75" s="1677" t="str">
        <f>CONCATENATE(B75, " - ", C75)</f>
        <v xml:space="preserve">7.7 - </v>
      </c>
      <c r="E75" s="1767"/>
    </row>
    <row r="76" spans="2:5" x14ac:dyDescent="0.2">
      <c r="B76" s="1679">
        <v>7.8</v>
      </c>
      <c r="C76" s="2077"/>
      <c r="D76" s="1677" t="str">
        <f>CONCATENATE(B76, " - ", C76)</f>
        <v xml:space="preserve">7.8 - </v>
      </c>
      <c r="E76" s="1767"/>
    </row>
    <row r="77" spans="2:5" x14ac:dyDescent="0.2">
      <c r="B77" s="1679">
        <v>7.9</v>
      </c>
      <c r="C77" s="2077"/>
      <c r="D77" s="1677" t="str">
        <f>CONCATENATE(B77, " - ", C77)</f>
        <v xml:space="preserve">7.9 - </v>
      </c>
      <c r="E77" s="1767"/>
    </row>
    <row r="78" spans="2:5" x14ac:dyDescent="0.2">
      <c r="B78" s="1679" t="s">
        <v>1907</v>
      </c>
      <c r="C78" s="2077"/>
      <c r="D78" s="1677" t="str">
        <f>CONCATENATE(B78, " - ", C78)</f>
        <v xml:space="preserve">7.10 - </v>
      </c>
      <c r="E78" s="1767"/>
    </row>
    <row r="79" spans="2:5" x14ac:dyDescent="0.2">
      <c r="B79" s="1680" t="s">
        <v>1877</v>
      </c>
      <c r="C79" s="2076"/>
      <c r="E79" s="1767"/>
    </row>
    <row r="80" spans="2:5" x14ac:dyDescent="0.2">
      <c r="B80" s="1679">
        <v>8.1</v>
      </c>
      <c r="C80" s="2077" t="s">
        <v>1900</v>
      </c>
      <c r="D80" s="1677" t="str">
        <f t="shared" ref="D80:D89" si="4">CONCATENATE(B80, " - ", C80)</f>
        <v>8.1 - [Name of sub-vote]</v>
      </c>
      <c r="E80" s="1767"/>
    </row>
    <row r="81" spans="2:5" x14ac:dyDescent="0.2">
      <c r="B81" s="1679">
        <v>8.1999999999999993</v>
      </c>
      <c r="C81" s="2077" t="s">
        <v>1900</v>
      </c>
      <c r="D81" s="1677" t="str">
        <f t="shared" si="4"/>
        <v>8.2 - [Name of sub-vote]</v>
      </c>
      <c r="E81" s="1767"/>
    </row>
    <row r="82" spans="2:5" x14ac:dyDescent="0.2">
      <c r="B82" s="1679">
        <v>8.3000000000000007</v>
      </c>
      <c r="C82" s="2077" t="s">
        <v>1900</v>
      </c>
      <c r="D82" s="1677" t="str">
        <f t="shared" si="4"/>
        <v>8.3 - [Name of sub-vote]</v>
      </c>
      <c r="E82" s="1767"/>
    </row>
    <row r="83" spans="2:5" x14ac:dyDescent="0.2">
      <c r="B83" s="1679">
        <v>8.4</v>
      </c>
      <c r="C83" s="2077" t="s">
        <v>1900</v>
      </c>
      <c r="D83" s="1677" t="str">
        <f t="shared" si="4"/>
        <v>8.4 - [Name of sub-vote]</v>
      </c>
      <c r="E83" s="1767"/>
    </row>
    <row r="84" spans="2:5" x14ac:dyDescent="0.2">
      <c r="B84" s="1679">
        <v>8.5</v>
      </c>
      <c r="C84" s="2077" t="s">
        <v>1900</v>
      </c>
      <c r="D84" s="1677" t="str">
        <f t="shared" si="4"/>
        <v>8.5 - [Name of sub-vote]</v>
      </c>
      <c r="E84" s="1767"/>
    </row>
    <row r="85" spans="2:5" x14ac:dyDescent="0.2">
      <c r="B85" s="1679">
        <v>8.6</v>
      </c>
      <c r="C85" s="2077" t="s">
        <v>1900</v>
      </c>
      <c r="D85" s="1677" t="str">
        <f t="shared" si="4"/>
        <v>8.6 - [Name of sub-vote]</v>
      </c>
      <c r="E85" s="1767"/>
    </row>
    <row r="86" spans="2:5" x14ac:dyDescent="0.2">
      <c r="B86" s="1679">
        <v>8.6999999999999993</v>
      </c>
      <c r="C86" s="2077" t="s">
        <v>1900</v>
      </c>
      <c r="D86" s="1677" t="str">
        <f t="shared" si="4"/>
        <v>8.7 - [Name of sub-vote]</v>
      </c>
      <c r="E86" s="1767"/>
    </row>
    <row r="87" spans="2:5" x14ac:dyDescent="0.2">
      <c r="B87" s="1679">
        <v>8.8000000000000007</v>
      </c>
      <c r="C87" s="2077" t="s">
        <v>1900</v>
      </c>
      <c r="D87" s="1677" t="str">
        <f t="shared" si="4"/>
        <v>8.8 - [Name of sub-vote]</v>
      </c>
      <c r="E87" s="1767"/>
    </row>
    <row r="88" spans="2:5" x14ac:dyDescent="0.2">
      <c r="B88" s="1679">
        <v>8.9</v>
      </c>
      <c r="C88" s="2077" t="s">
        <v>1900</v>
      </c>
      <c r="D88" s="1677" t="str">
        <f t="shared" si="4"/>
        <v>8.9 - [Name of sub-vote]</v>
      </c>
      <c r="E88" s="1767" t="s">
        <v>1925</v>
      </c>
    </row>
    <row r="89" spans="2:5" x14ac:dyDescent="0.2">
      <c r="B89" s="1679" t="s">
        <v>1908</v>
      </c>
      <c r="C89" s="2077" t="s">
        <v>1900</v>
      </c>
      <c r="D89" s="1677" t="str">
        <f t="shared" si="4"/>
        <v>8.10 - [Name of sub-vote]</v>
      </c>
      <c r="E89" s="1767"/>
    </row>
    <row r="90" spans="2:5" x14ac:dyDescent="0.2">
      <c r="B90" s="1680" t="s">
        <v>1878</v>
      </c>
      <c r="C90" s="2076" t="s">
        <v>1918</v>
      </c>
      <c r="E90" s="1767"/>
    </row>
    <row r="91" spans="2:5" x14ac:dyDescent="0.2">
      <c r="B91" s="1679">
        <v>9.1</v>
      </c>
      <c r="C91" s="2077" t="s">
        <v>1900</v>
      </c>
      <c r="D91" s="1677" t="str">
        <f t="shared" ref="D91:D100" si="5">CONCATENATE(B91, " - ", C91)</f>
        <v>9.1 - [Name of sub-vote]</v>
      </c>
      <c r="E91" s="1767"/>
    </row>
    <row r="92" spans="2:5" x14ac:dyDescent="0.2">
      <c r="B92" s="1679">
        <v>9.1999999999999993</v>
      </c>
      <c r="C92" s="2077" t="s">
        <v>1900</v>
      </c>
      <c r="D92" s="1677" t="str">
        <f t="shared" si="5"/>
        <v>9.2 - [Name of sub-vote]</v>
      </c>
      <c r="E92" s="1767"/>
    </row>
    <row r="93" spans="2:5" x14ac:dyDescent="0.2">
      <c r="B93" s="1679">
        <v>9.3000000000000007</v>
      </c>
      <c r="C93" s="2077" t="s">
        <v>1900</v>
      </c>
      <c r="D93" s="1677" t="str">
        <f t="shared" si="5"/>
        <v>9.3 - [Name of sub-vote]</v>
      </c>
      <c r="E93" s="1767"/>
    </row>
    <row r="94" spans="2:5" x14ac:dyDescent="0.2">
      <c r="B94" s="1679">
        <v>9.4</v>
      </c>
      <c r="C94" s="2077" t="s">
        <v>1900</v>
      </c>
      <c r="D94" s="1677" t="str">
        <f t="shared" si="5"/>
        <v>9.4 - [Name of sub-vote]</v>
      </c>
      <c r="E94" s="1767"/>
    </row>
    <row r="95" spans="2:5" x14ac:dyDescent="0.2">
      <c r="B95" s="1679">
        <v>9.5</v>
      </c>
      <c r="C95" s="2077" t="s">
        <v>1900</v>
      </c>
      <c r="D95" s="1677" t="str">
        <f t="shared" si="5"/>
        <v>9.5 - [Name of sub-vote]</v>
      </c>
      <c r="E95" s="1767"/>
    </row>
    <row r="96" spans="2:5" x14ac:dyDescent="0.2">
      <c r="B96" s="1679">
        <v>9.6</v>
      </c>
      <c r="C96" s="2077" t="s">
        <v>1900</v>
      </c>
      <c r="D96" s="1677" t="str">
        <f t="shared" si="5"/>
        <v>9.6 - [Name of sub-vote]</v>
      </c>
      <c r="E96" s="1767"/>
    </row>
    <row r="97" spans="2:5" x14ac:dyDescent="0.2">
      <c r="B97" s="1679">
        <v>9.6999999999999993</v>
      </c>
      <c r="C97" s="2077" t="s">
        <v>1900</v>
      </c>
      <c r="D97" s="1677" t="str">
        <f t="shared" si="5"/>
        <v>9.7 - [Name of sub-vote]</v>
      </c>
      <c r="E97" s="1767"/>
    </row>
    <row r="98" spans="2:5" x14ac:dyDescent="0.2">
      <c r="B98" s="1679">
        <v>9.8000000000000007</v>
      </c>
      <c r="C98" s="2077" t="s">
        <v>1900</v>
      </c>
      <c r="D98" s="1677" t="str">
        <f t="shared" si="5"/>
        <v>9.8 - [Name of sub-vote]</v>
      </c>
      <c r="E98" s="1767"/>
    </row>
    <row r="99" spans="2:5" x14ac:dyDescent="0.2">
      <c r="B99" s="1679">
        <v>9.9</v>
      </c>
      <c r="C99" s="2077" t="s">
        <v>1900</v>
      </c>
      <c r="D99" s="1677" t="str">
        <f t="shared" si="5"/>
        <v>9.9 - [Name of sub-vote]</v>
      </c>
      <c r="E99" s="1767" t="s">
        <v>1926</v>
      </c>
    </row>
    <row r="100" spans="2:5" x14ac:dyDescent="0.2">
      <c r="B100" s="1679" t="s">
        <v>1909</v>
      </c>
      <c r="C100" s="2077" t="s">
        <v>1900</v>
      </c>
      <c r="D100" s="1677" t="str">
        <f t="shared" si="5"/>
        <v>9.10 - [Name of sub-vote]</v>
      </c>
      <c r="E100" s="1767"/>
    </row>
    <row r="101" spans="2:5" x14ac:dyDescent="0.2">
      <c r="B101" s="1680" t="s">
        <v>1879</v>
      </c>
      <c r="C101" s="2076" t="s">
        <v>1919</v>
      </c>
      <c r="E101" s="1767"/>
    </row>
    <row r="102" spans="2:5" x14ac:dyDescent="0.2">
      <c r="B102" s="1679">
        <v>10.1</v>
      </c>
      <c r="C102" s="2077" t="s">
        <v>1900</v>
      </c>
      <c r="D102" s="1677" t="str">
        <f t="shared" ref="D102:D111" si="6">CONCATENATE(B102, " - ", C102)</f>
        <v>10.1 - [Name of sub-vote]</v>
      </c>
      <c r="E102" s="1767"/>
    </row>
    <row r="103" spans="2:5" x14ac:dyDescent="0.2">
      <c r="B103" s="1679">
        <v>10.199999999999999</v>
      </c>
      <c r="C103" s="2077" t="s">
        <v>1900</v>
      </c>
      <c r="D103" s="1677" t="str">
        <f t="shared" si="6"/>
        <v>10.2 - [Name of sub-vote]</v>
      </c>
      <c r="E103" s="1767"/>
    </row>
    <row r="104" spans="2:5" x14ac:dyDescent="0.2">
      <c r="B104" s="1679">
        <v>10.3</v>
      </c>
      <c r="C104" s="2077" t="s">
        <v>1900</v>
      </c>
      <c r="D104" s="1677" t="str">
        <f t="shared" si="6"/>
        <v>10.3 - [Name of sub-vote]</v>
      </c>
      <c r="E104" s="1767"/>
    </row>
    <row r="105" spans="2:5" x14ac:dyDescent="0.2">
      <c r="B105" s="1679">
        <v>10.4</v>
      </c>
      <c r="C105" s="2077" t="s">
        <v>1900</v>
      </c>
      <c r="D105" s="1677" t="str">
        <f t="shared" si="6"/>
        <v>10.4 - [Name of sub-vote]</v>
      </c>
      <c r="E105" s="1767"/>
    </row>
    <row r="106" spans="2:5" x14ac:dyDescent="0.2">
      <c r="B106" s="1679">
        <v>10.5</v>
      </c>
      <c r="C106" s="2077" t="s">
        <v>1900</v>
      </c>
      <c r="D106" s="1677" t="str">
        <f t="shared" si="6"/>
        <v>10.5 - [Name of sub-vote]</v>
      </c>
      <c r="E106" s="1767"/>
    </row>
    <row r="107" spans="2:5" x14ac:dyDescent="0.2">
      <c r="B107" s="1679">
        <v>10.6</v>
      </c>
      <c r="C107" s="2077" t="s">
        <v>1900</v>
      </c>
      <c r="D107" s="1677" t="str">
        <f t="shared" si="6"/>
        <v>10.6 - [Name of sub-vote]</v>
      </c>
      <c r="E107" s="1767"/>
    </row>
    <row r="108" spans="2:5" x14ac:dyDescent="0.2">
      <c r="B108" s="1679">
        <v>10.7</v>
      </c>
      <c r="C108" s="2077" t="s">
        <v>1900</v>
      </c>
      <c r="D108" s="1677" t="str">
        <f t="shared" si="6"/>
        <v>10.7 - [Name of sub-vote]</v>
      </c>
      <c r="E108" s="1767"/>
    </row>
    <row r="109" spans="2:5" x14ac:dyDescent="0.2">
      <c r="B109" s="1679">
        <v>10.8</v>
      </c>
      <c r="C109" s="2077" t="s">
        <v>1900</v>
      </c>
      <c r="D109" s="1677" t="str">
        <f t="shared" si="6"/>
        <v>10.8 - [Name of sub-vote]</v>
      </c>
      <c r="E109" s="1767"/>
    </row>
    <row r="110" spans="2:5" x14ac:dyDescent="0.2">
      <c r="B110" s="1679">
        <v>10.9</v>
      </c>
      <c r="C110" s="2077" t="s">
        <v>1900</v>
      </c>
      <c r="D110" s="1677" t="str">
        <f t="shared" si="6"/>
        <v>10.9 - [Name of sub-vote]</v>
      </c>
      <c r="E110" s="1767" t="s">
        <v>1927</v>
      </c>
    </row>
    <row r="111" spans="2:5" x14ac:dyDescent="0.2">
      <c r="B111" s="1679" t="s">
        <v>1910</v>
      </c>
      <c r="C111" s="2077" t="s">
        <v>1900</v>
      </c>
      <c r="D111" s="1677" t="str">
        <f t="shared" si="6"/>
        <v>10.10 - [Name of sub-vote]</v>
      </c>
      <c r="E111" s="1767"/>
    </row>
    <row r="112" spans="2:5" x14ac:dyDescent="0.2">
      <c r="B112" s="1680" t="s">
        <v>1880</v>
      </c>
      <c r="C112" s="2076" t="s">
        <v>1920</v>
      </c>
      <c r="E112" s="1767"/>
    </row>
    <row r="113" spans="2:5" x14ac:dyDescent="0.2">
      <c r="B113" s="1679">
        <v>11.1</v>
      </c>
      <c r="C113" s="2077" t="s">
        <v>1900</v>
      </c>
      <c r="D113" s="1677" t="str">
        <f t="shared" ref="D113:D122" si="7">CONCATENATE(B113, " - ", C113)</f>
        <v>11.1 - [Name of sub-vote]</v>
      </c>
      <c r="E113" s="1767"/>
    </row>
    <row r="114" spans="2:5" x14ac:dyDescent="0.2">
      <c r="B114" s="1679">
        <v>11.2</v>
      </c>
      <c r="C114" s="2077" t="s">
        <v>1900</v>
      </c>
      <c r="D114" s="1677" t="str">
        <f t="shared" si="7"/>
        <v>11.2 - [Name of sub-vote]</v>
      </c>
      <c r="E114" s="1767"/>
    </row>
    <row r="115" spans="2:5" x14ac:dyDescent="0.2">
      <c r="B115" s="1679">
        <v>11.3</v>
      </c>
      <c r="C115" s="2077" t="s">
        <v>1900</v>
      </c>
      <c r="D115" s="1677" t="str">
        <f t="shared" si="7"/>
        <v>11.3 - [Name of sub-vote]</v>
      </c>
      <c r="E115" s="1767"/>
    </row>
    <row r="116" spans="2:5" x14ac:dyDescent="0.2">
      <c r="B116" s="1679">
        <v>11.4</v>
      </c>
      <c r="C116" s="2077" t="s">
        <v>1900</v>
      </c>
      <c r="D116" s="1677" t="str">
        <f t="shared" si="7"/>
        <v>11.4 - [Name of sub-vote]</v>
      </c>
      <c r="E116" s="1767"/>
    </row>
    <row r="117" spans="2:5" x14ac:dyDescent="0.2">
      <c r="B117" s="1679">
        <v>11.5</v>
      </c>
      <c r="C117" s="2077" t="s">
        <v>1900</v>
      </c>
      <c r="D117" s="1677" t="str">
        <f t="shared" si="7"/>
        <v>11.5 - [Name of sub-vote]</v>
      </c>
      <c r="E117" s="1767"/>
    </row>
    <row r="118" spans="2:5" x14ac:dyDescent="0.2">
      <c r="B118" s="1679">
        <v>11.6</v>
      </c>
      <c r="C118" s="2077" t="s">
        <v>1900</v>
      </c>
      <c r="D118" s="1677" t="str">
        <f t="shared" si="7"/>
        <v>11.6 - [Name of sub-vote]</v>
      </c>
      <c r="E118" s="1767"/>
    </row>
    <row r="119" spans="2:5" x14ac:dyDescent="0.2">
      <c r="B119" s="1679">
        <v>11.7</v>
      </c>
      <c r="C119" s="2077" t="s">
        <v>1900</v>
      </c>
      <c r="D119" s="1677" t="str">
        <f t="shared" si="7"/>
        <v>11.7 - [Name of sub-vote]</v>
      </c>
      <c r="E119" s="1767"/>
    </row>
    <row r="120" spans="2:5" x14ac:dyDescent="0.2">
      <c r="B120" s="1679">
        <v>11.8</v>
      </c>
      <c r="C120" s="2077" t="s">
        <v>1900</v>
      </c>
      <c r="D120" s="1677" t="str">
        <f t="shared" si="7"/>
        <v>11.8 - [Name of sub-vote]</v>
      </c>
      <c r="E120" s="1767"/>
    </row>
    <row r="121" spans="2:5" x14ac:dyDescent="0.2">
      <c r="B121" s="1679">
        <v>11.9</v>
      </c>
      <c r="C121" s="2077" t="s">
        <v>1900</v>
      </c>
      <c r="D121" s="1677" t="str">
        <f t="shared" si="7"/>
        <v>11.9 - [Name of sub-vote]</v>
      </c>
      <c r="E121" s="1767" t="s">
        <v>1928</v>
      </c>
    </row>
    <row r="122" spans="2:5" x14ac:dyDescent="0.2">
      <c r="B122" s="1679" t="s">
        <v>1911</v>
      </c>
      <c r="C122" s="2077" t="s">
        <v>1900</v>
      </c>
      <c r="D122" s="1677" t="str">
        <f t="shared" si="7"/>
        <v>11.10 - [Name of sub-vote]</v>
      </c>
      <c r="E122" s="1767"/>
    </row>
    <row r="123" spans="2:5" x14ac:dyDescent="0.2">
      <c r="B123" s="1680" t="s">
        <v>1881</v>
      </c>
      <c r="C123" s="2076" t="s">
        <v>1921</v>
      </c>
      <c r="E123" s="1767"/>
    </row>
    <row r="124" spans="2:5" x14ac:dyDescent="0.2">
      <c r="B124" s="1679">
        <v>12.1</v>
      </c>
      <c r="C124" s="2077" t="s">
        <v>1900</v>
      </c>
      <c r="D124" s="1677" t="str">
        <f t="shared" ref="D124:D133" si="8">CONCATENATE(B124, " - ", C124)</f>
        <v>12.1 - [Name of sub-vote]</v>
      </c>
      <c r="E124" s="1767"/>
    </row>
    <row r="125" spans="2:5" x14ac:dyDescent="0.2">
      <c r="B125" s="1679">
        <v>12.2</v>
      </c>
      <c r="C125" s="2077" t="s">
        <v>1900</v>
      </c>
      <c r="D125" s="1677" t="str">
        <f t="shared" si="8"/>
        <v>12.2 - [Name of sub-vote]</v>
      </c>
      <c r="E125" s="1767"/>
    </row>
    <row r="126" spans="2:5" x14ac:dyDescent="0.2">
      <c r="B126" s="1679">
        <v>12.3</v>
      </c>
      <c r="C126" s="2077" t="s">
        <v>1900</v>
      </c>
      <c r="D126" s="1677" t="str">
        <f t="shared" si="8"/>
        <v>12.3 - [Name of sub-vote]</v>
      </c>
      <c r="E126" s="1767"/>
    </row>
    <row r="127" spans="2:5" x14ac:dyDescent="0.2">
      <c r="B127" s="1679">
        <v>12.4</v>
      </c>
      <c r="C127" s="2077" t="s">
        <v>1900</v>
      </c>
      <c r="D127" s="1677" t="str">
        <f t="shared" si="8"/>
        <v>12.4 - [Name of sub-vote]</v>
      </c>
      <c r="E127" s="1767"/>
    </row>
    <row r="128" spans="2:5" x14ac:dyDescent="0.2">
      <c r="B128" s="1679">
        <v>12.5</v>
      </c>
      <c r="C128" s="2077" t="s">
        <v>1900</v>
      </c>
      <c r="D128" s="1677" t="str">
        <f t="shared" si="8"/>
        <v>12.5 - [Name of sub-vote]</v>
      </c>
      <c r="E128" s="1767"/>
    </row>
    <row r="129" spans="2:5" x14ac:dyDescent="0.2">
      <c r="B129" s="1679">
        <v>12.6</v>
      </c>
      <c r="C129" s="2077" t="s">
        <v>1900</v>
      </c>
      <c r="D129" s="1677" t="str">
        <f t="shared" si="8"/>
        <v>12.6 - [Name of sub-vote]</v>
      </c>
      <c r="E129" s="1767"/>
    </row>
    <row r="130" spans="2:5" x14ac:dyDescent="0.2">
      <c r="B130" s="1679">
        <v>12.7</v>
      </c>
      <c r="C130" s="2077" t="s">
        <v>1900</v>
      </c>
      <c r="D130" s="1677" t="str">
        <f t="shared" si="8"/>
        <v>12.7 - [Name of sub-vote]</v>
      </c>
      <c r="E130" s="1767"/>
    </row>
    <row r="131" spans="2:5" x14ac:dyDescent="0.2">
      <c r="B131" s="1679">
        <v>12.8</v>
      </c>
      <c r="C131" s="2077" t="s">
        <v>1900</v>
      </c>
      <c r="D131" s="1677" t="str">
        <f t="shared" si="8"/>
        <v>12.8 - [Name of sub-vote]</v>
      </c>
      <c r="E131" s="1767"/>
    </row>
    <row r="132" spans="2:5" x14ac:dyDescent="0.2">
      <c r="B132" s="1679">
        <v>12.9</v>
      </c>
      <c r="C132" s="2077" t="s">
        <v>1900</v>
      </c>
      <c r="D132" s="1677" t="str">
        <f t="shared" si="8"/>
        <v>12.9 - [Name of sub-vote]</v>
      </c>
      <c r="E132" s="1767" t="s">
        <v>1929</v>
      </c>
    </row>
    <row r="133" spans="2:5" x14ac:dyDescent="0.2">
      <c r="B133" s="1679" t="s">
        <v>1912</v>
      </c>
      <c r="C133" s="2077" t="s">
        <v>1900</v>
      </c>
      <c r="D133" s="1677" t="str">
        <f t="shared" si="8"/>
        <v>12.10 - [Name of sub-vote]</v>
      </c>
      <c r="E133" s="1767"/>
    </row>
    <row r="134" spans="2:5" x14ac:dyDescent="0.2">
      <c r="B134" s="1680" t="s">
        <v>1882</v>
      </c>
      <c r="C134" s="2076" t="s">
        <v>1922</v>
      </c>
      <c r="E134" s="1767"/>
    </row>
    <row r="135" spans="2:5" x14ac:dyDescent="0.2">
      <c r="B135" s="1679">
        <v>13.1</v>
      </c>
      <c r="C135" s="2077" t="s">
        <v>1900</v>
      </c>
      <c r="D135" s="1677" t="str">
        <f t="shared" ref="D135:D144" si="9">CONCATENATE(B135, " - ", C135)</f>
        <v>13.1 - [Name of sub-vote]</v>
      </c>
      <c r="E135" s="1767"/>
    </row>
    <row r="136" spans="2:5" x14ac:dyDescent="0.2">
      <c r="B136" s="1679">
        <v>13.2</v>
      </c>
      <c r="C136" s="2077" t="s">
        <v>1900</v>
      </c>
      <c r="D136" s="1677" t="str">
        <f t="shared" si="9"/>
        <v>13.2 - [Name of sub-vote]</v>
      </c>
      <c r="E136" s="1767"/>
    </row>
    <row r="137" spans="2:5" x14ac:dyDescent="0.2">
      <c r="B137" s="1679">
        <v>13.3</v>
      </c>
      <c r="C137" s="2077" t="s">
        <v>1900</v>
      </c>
      <c r="D137" s="1677" t="str">
        <f t="shared" si="9"/>
        <v>13.3 - [Name of sub-vote]</v>
      </c>
      <c r="E137" s="1767"/>
    </row>
    <row r="138" spans="2:5" x14ac:dyDescent="0.2">
      <c r="B138" s="1679">
        <v>13.4</v>
      </c>
      <c r="C138" s="2077" t="s">
        <v>1900</v>
      </c>
      <c r="D138" s="1677" t="str">
        <f t="shared" si="9"/>
        <v>13.4 - [Name of sub-vote]</v>
      </c>
      <c r="E138" s="1767"/>
    </row>
    <row r="139" spans="2:5" x14ac:dyDescent="0.2">
      <c r="B139" s="1679">
        <v>13.5</v>
      </c>
      <c r="C139" s="2077" t="s">
        <v>1900</v>
      </c>
      <c r="D139" s="1677" t="str">
        <f t="shared" si="9"/>
        <v>13.5 - [Name of sub-vote]</v>
      </c>
      <c r="E139" s="1767"/>
    </row>
    <row r="140" spans="2:5" x14ac:dyDescent="0.2">
      <c r="B140" s="1679">
        <v>13.6</v>
      </c>
      <c r="C140" s="2077" t="s">
        <v>1900</v>
      </c>
      <c r="D140" s="1677" t="str">
        <f t="shared" si="9"/>
        <v>13.6 - [Name of sub-vote]</v>
      </c>
      <c r="E140" s="1767"/>
    </row>
    <row r="141" spans="2:5" x14ac:dyDescent="0.2">
      <c r="B141" s="1679">
        <v>13.7</v>
      </c>
      <c r="C141" s="2077" t="s">
        <v>1900</v>
      </c>
      <c r="D141" s="1677" t="str">
        <f t="shared" si="9"/>
        <v>13.7 - [Name of sub-vote]</v>
      </c>
      <c r="E141" s="1767"/>
    </row>
    <row r="142" spans="2:5" x14ac:dyDescent="0.2">
      <c r="B142" s="1679">
        <v>13.8</v>
      </c>
      <c r="C142" s="2077" t="s">
        <v>1900</v>
      </c>
      <c r="D142" s="1677" t="str">
        <f t="shared" si="9"/>
        <v>13.8 - [Name of sub-vote]</v>
      </c>
      <c r="E142" s="1767"/>
    </row>
    <row r="143" spans="2:5" x14ac:dyDescent="0.2">
      <c r="B143" s="1679">
        <v>13.9</v>
      </c>
      <c r="C143" s="2077" t="s">
        <v>1900</v>
      </c>
      <c r="D143" s="1677" t="str">
        <f t="shared" si="9"/>
        <v>13.9 - [Name of sub-vote]</v>
      </c>
      <c r="E143" s="1767" t="s">
        <v>1930</v>
      </c>
    </row>
    <row r="144" spans="2:5" x14ac:dyDescent="0.2">
      <c r="B144" s="1679" t="s">
        <v>1913</v>
      </c>
      <c r="C144" s="2077" t="s">
        <v>1900</v>
      </c>
      <c r="D144" s="1677" t="str">
        <f t="shared" si="9"/>
        <v>13.10 - [Name of sub-vote]</v>
      </c>
      <c r="E144" s="1767"/>
    </row>
    <row r="145" spans="2:5" x14ac:dyDescent="0.2">
      <c r="B145" s="1680" t="s">
        <v>1883</v>
      </c>
      <c r="C145" s="2076" t="s">
        <v>1923</v>
      </c>
      <c r="E145" s="1767"/>
    </row>
    <row r="146" spans="2:5" x14ac:dyDescent="0.2">
      <c r="B146" s="1679">
        <v>14.1</v>
      </c>
      <c r="C146" s="2077" t="s">
        <v>1900</v>
      </c>
      <c r="D146" s="1677" t="str">
        <f t="shared" ref="D146:D155" si="10">CONCATENATE(B146, " - ", C146)</f>
        <v>14.1 - [Name of sub-vote]</v>
      </c>
      <c r="E146" s="1767"/>
    </row>
    <row r="147" spans="2:5" x14ac:dyDescent="0.2">
      <c r="B147" s="1679">
        <v>14.2</v>
      </c>
      <c r="C147" s="2077" t="s">
        <v>1900</v>
      </c>
      <c r="D147" s="1677" t="str">
        <f t="shared" si="10"/>
        <v>14.2 - [Name of sub-vote]</v>
      </c>
      <c r="E147" s="1767"/>
    </row>
    <row r="148" spans="2:5" x14ac:dyDescent="0.2">
      <c r="B148" s="1679">
        <v>14.3</v>
      </c>
      <c r="C148" s="2077" t="s">
        <v>1900</v>
      </c>
      <c r="D148" s="1677" t="str">
        <f t="shared" si="10"/>
        <v>14.3 - [Name of sub-vote]</v>
      </c>
      <c r="E148" s="1767"/>
    </row>
    <row r="149" spans="2:5" x14ac:dyDescent="0.2">
      <c r="B149" s="1679">
        <v>14.4</v>
      </c>
      <c r="C149" s="2077" t="s">
        <v>1900</v>
      </c>
      <c r="D149" s="1677" t="str">
        <f t="shared" si="10"/>
        <v>14.4 - [Name of sub-vote]</v>
      </c>
      <c r="E149" s="1767"/>
    </row>
    <row r="150" spans="2:5" x14ac:dyDescent="0.2">
      <c r="B150" s="1679">
        <v>14.5</v>
      </c>
      <c r="C150" s="2077" t="s">
        <v>1900</v>
      </c>
      <c r="D150" s="1677" t="str">
        <f t="shared" si="10"/>
        <v>14.5 - [Name of sub-vote]</v>
      </c>
      <c r="E150" s="1767"/>
    </row>
    <row r="151" spans="2:5" x14ac:dyDescent="0.2">
      <c r="B151" s="1679">
        <v>14.6</v>
      </c>
      <c r="C151" s="2077" t="s">
        <v>1900</v>
      </c>
      <c r="D151" s="1677" t="str">
        <f t="shared" si="10"/>
        <v>14.6 - [Name of sub-vote]</v>
      </c>
      <c r="E151" s="1767"/>
    </row>
    <row r="152" spans="2:5" x14ac:dyDescent="0.2">
      <c r="B152" s="1679">
        <v>14.7</v>
      </c>
      <c r="C152" s="2077" t="s">
        <v>1900</v>
      </c>
      <c r="D152" s="1677" t="str">
        <f t="shared" si="10"/>
        <v>14.7 - [Name of sub-vote]</v>
      </c>
      <c r="E152" s="1767"/>
    </row>
    <row r="153" spans="2:5" x14ac:dyDescent="0.2">
      <c r="B153" s="1679">
        <v>14.8</v>
      </c>
      <c r="C153" s="2077" t="s">
        <v>1900</v>
      </c>
      <c r="D153" s="1677" t="str">
        <f t="shared" si="10"/>
        <v>14.8 - [Name of sub-vote]</v>
      </c>
      <c r="E153" s="1767"/>
    </row>
    <row r="154" spans="2:5" x14ac:dyDescent="0.2">
      <c r="B154" s="1679">
        <v>14.9</v>
      </c>
      <c r="C154" s="2077" t="s">
        <v>1900</v>
      </c>
      <c r="D154" s="1677" t="str">
        <f t="shared" si="10"/>
        <v>14.9 - [Name of sub-vote]</v>
      </c>
      <c r="E154" s="1767" t="s">
        <v>1931</v>
      </c>
    </row>
    <row r="155" spans="2:5" x14ac:dyDescent="0.2">
      <c r="B155" s="1679" t="s">
        <v>1914</v>
      </c>
      <c r="C155" s="2077" t="s">
        <v>1900</v>
      </c>
      <c r="D155" s="1677" t="str">
        <f t="shared" si="10"/>
        <v>14.10 - [Name of sub-vote]</v>
      </c>
      <c r="E155" s="1767"/>
    </row>
    <row r="156" spans="2:5" x14ac:dyDescent="0.2">
      <c r="B156" s="1680" t="s">
        <v>1884</v>
      </c>
      <c r="C156" s="2076" t="s">
        <v>1924</v>
      </c>
      <c r="E156" s="1767"/>
    </row>
    <row r="157" spans="2:5" x14ac:dyDescent="0.2">
      <c r="B157" s="1679">
        <v>15.1</v>
      </c>
      <c r="C157" s="2077" t="s">
        <v>1900</v>
      </c>
      <c r="D157" s="1677" t="str">
        <f t="shared" ref="D157:D166" si="11">CONCATENATE(B157, " - ", C157)</f>
        <v>15.1 - [Name of sub-vote]</v>
      </c>
      <c r="E157" s="1767"/>
    </row>
    <row r="158" spans="2:5" x14ac:dyDescent="0.2">
      <c r="B158" s="1679">
        <v>15.2</v>
      </c>
      <c r="C158" s="2077" t="s">
        <v>1900</v>
      </c>
      <c r="D158" s="1677" t="str">
        <f t="shared" si="11"/>
        <v>15.2 - [Name of sub-vote]</v>
      </c>
      <c r="E158" s="1767"/>
    </row>
    <row r="159" spans="2:5" x14ac:dyDescent="0.2">
      <c r="B159" s="1679">
        <v>15.3</v>
      </c>
      <c r="C159" s="2077" t="s">
        <v>1900</v>
      </c>
      <c r="D159" s="1677" t="str">
        <f t="shared" si="11"/>
        <v>15.3 - [Name of sub-vote]</v>
      </c>
      <c r="E159" s="1767"/>
    </row>
    <row r="160" spans="2:5" x14ac:dyDescent="0.2">
      <c r="B160" s="1679">
        <v>15.4</v>
      </c>
      <c r="C160" s="2077" t="s">
        <v>1900</v>
      </c>
      <c r="D160" s="1677" t="str">
        <f t="shared" si="11"/>
        <v>15.4 - [Name of sub-vote]</v>
      </c>
      <c r="E160" s="1767"/>
    </row>
    <row r="161" spans="2:5" x14ac:dyDescent="0.2">
      <c r="B161" s="1679">
        <v>15.5</v>
      </c>
      <c r="C161" s="2077" t="s">
        <v>1900</v>
      </c>
      <c r="D161" s="1677" t="str">
        <f t="shared" si="11"/>
        <v>15.5 - [Name of sub-vote]</v>
      </c>
      <c r="E161" s="1767"/>
    </row>
    <row r="162" spans="2:5" x14ac:dyDescent="0.2">
      <c r="B162" s="1679">
        <v>15.6</v>
      </c>
      <c r="C162" s="2077" t="s">
        <v>1900</v>
      </c>
      <c r="D162" s="1677" t="str">
        <f t="shared" si="11"/>
        <v>15.6 - [Name of sub-vote]</v>
      </c>
      <c r="E162" s="1767"/>
    </row>
    <row r="163" spans="2:5" x14ac:dyDescent="0.2">
      <c r="B163" s="1679">
        <v>15.7</v>
      </c>
      <c r="C163" s="2077" t="s">
        <v>1900</v>
      </c>
      <c r="D163" s="1677" t="str">
        <f t="shared" si="11"/>
        <v>15.7 - [Name of sub-vote]</v>
      </c>
      <c r="E163" s="1767"/>
    </row>
    <row r="164" spans="2:5" x14ac:dyDescent="0.2">
      <c r="B164" s="1679">
        <v>15.8</v>
      </c>
      <c r="C164" s="2077" t="s">
        <v>1900</v>
      </c>
      <c r="D164" s="1677" t="str">
        <f t="shared" si="11"/>
        <v>15.8 - [Name of sub-vote]</v>
      </c>
    </row>
    <row r="165" spans="2:5" x14ac:dyDescent="0.2">
      <c r="B165" s="1679">
        <v>15.9</v>
      </c>
      <c r="C165" s="2077" t="s">
        <v>1900</v>
      </c>
      <c r="D165" s="1677" t="str">
        <f t="shared" si="11"/>
        <v>15.9 - [Name of sub-vote]</v>
      </c>
    </row>
    <row r="166" spans="2:5" x14ac:dyDescent="0.2">
      <c r="B166" s="1679" t="s">
        <v>1915</v>
      </c>
      <c r="C166" s="2077" t="s">
        <v>1900</v>
      </c>
      <c r="D166" s="1677" t="str">
        <f t="shared" si="11"/>
        <v>15.10 - [Name of sub-vote]</v>
      </c>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66:E75">
      <formula1>Vote7</formula1>
    </dataValidation>
    <dataValidation type="list" allowBlank="1" showInputMessage="1" showErrorMessage="1" sqref="E77:E86">
      <formula1>Vote8</formula1>
    </dataValidation>
    <dataValidation type="list" allowBlank="1" showInputMessage="1" showErrorMessage="1" sqref="E88:E97">
      <formula1>Vote9</formula1>
    </dataValidation>
    <dataValidation type="list" allowBlank="1" showInputMessage="1" showErrorMessage="1" sqref="E99:E108">
      <formula1>Vote10</formula1>
    </dataValidation>
    <dataValidation type="list" allowBlank="1" showInputMessage="1" showErrorMessage="1" sqref="E110:E119">
      <formula1>Vote11</formula1>
    </dataValidation>
    <dataValidation type="list" allowBlank="1" showInputMessage="1" showErrorMessage="1" sqref="E121:E130">
      <formula1>Vote12</formula1>
    </dataValidation>
    <dataValidation type="list" allowBlank="1" showInputMessage="1" showErrorMessage="1" sqref="E132:E141">
      <formula1>Vote13</formula1>
    </dataValidation>
    <dataValidation type="list" allowBlank="1" showInputMessage="1" showErrorMessage="1" sqref="E143:E152">
      <formula1>Vote14</formula1>
    </dataValidation>
    <dataValidation type="list" allowBlank="1" showInputMessage="1" showErrorMessage="1" sqref="E154:E163">
      <formula1>Vote15</formula1>
    </dataValidation>
    <dataValidation type="list" allowBlank="1" showInputMessage="1" showErrorMessage="1" sqref="E58:E64">
      <formula1>Vote6</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6" activePane="bottomRight" state="frozen"/>
      <selection pane="topRight"/>
      <selection pane="bottomLeft"/>
      <selection pane="bottomRight" activeCell="J47" sqref="J47"/>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LIM471 Ephraim Mogale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53" t="str">
        <f>Head9</f>
        <v>Budget Year 2016/17</v>
      </c>
      <c r="D2" s="2654"/>
      <c r="E2" s="2654"/>
      <c r="F2" s="2654"/>
      <c r="G2" s="2654"/>
      <c r="H2" s="2654"/>
      <c r="I2" s="2654"/>
      <c r="J2" s="2654"/>
      <c r="K2" s="2654"/>
      <c r="L2" s="2654"/>
      <c r="M2" s="2654"/>
      <c r="N2" s="2654"/>
      <c r="O2" s="2650" t="s">
        <v>1703</v>
      </c>
      <c r="P2" s="2651"/>
      <c r="Q2" s="2652"/>
    </row>
    <row r="3" spans="1:18" ht="25.5" x14ac:dyDescent="0.25">
      <c r="A3" s="58" t="s">
        <v>625</v>
      </c>
      <c r="B3" s="870"/>
      <c r="C3" s="177" t="s">
        <v>682</v>
      </c>
      <c r="D3" s="801" t="s">
        <v>1352</v>
      </c>
      <c r="E3" s="801" t="s">
        <v>1353</v>
      </c>
      <c r="F3" s="801" t="s">
        <v>1354</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147633.33319999999</v>
      </c>
      <c r="D5" s="990">
        <f>SUM(D6:D8)</f>
        <v>147633.33319999999</v>
      </c>
      <c r="E5" s="990">
        <f t="shared" ref="E5:M5" si="0">SUM(E6:E8)</f>
        <v>147633.33319999999</v>
      </c>
      <c r="F5" s="990">
        <f t="shared" si="0"/>
        <v>147633.33319999999</v>
      </c>
      <c r="G5" s="990">
        <f t="shared" si="0"/>
        <v>147633.33319999999</v>
      </c>
      <c r="H5" s="990">
        <f t="shared" si="0"/>
        <v>147633.33319999999</v>
      </c>
      <c r="I5" s="990">
        <f t="shared" si="0"/>
        <v>147633.33319999999</v>
      </c>
      <c r="J5" s="990">
        <f t="shared" si="0"/>
        <v>147633.33319999999</v>
      </c>
      <c r="K5" s="990">
        <f t="shared" si="0"/>
        <v>147633.33319999999</v>
      </c>
      <c r="L5" s="990">
        <f t="shared" si="0"/>
        <v>147633.33319999999</v>
      </c>
      <c r="M5" s="990">
        <f t="shared" si="0"/>
        <v>147633.33319999999</v>
      </c>
      <c r="N5" s="95">
        <f>O5-SUM(C5:M5)</f>
        <v>147633.33480000007</v>
      </c>
      <c r="O5" s="98">
        <f>'A5-Capex'!J43</f>
        <v>1771600</v>
      </c>
      <c r="P5" s="96">
        <f>'A5-Capex'!K43</f>
        <v>1029896</v>
      </c>
      <c r="Q5" s="223">
        <f>'A5-Capex'!L43</f>
        <v>1091689.76</v>
      </c>
      <c r="R5" s="247"/>
    </row>
    <row r="6" spans="1:18" x14ac:dyDescent="0.25">
      <c r="A6" s="1129" t="str">
        <f>'A5-Capex'!A44</f>
        <v>Executive and council</v>
      </c>
      <c r="B6" s="737"/>
      <c r="C6" s="2107">
        <v>66666.666599999997</v>
      </c>
      <c r="D6" s="2088">
        <v>66666.666599999997</v>
      </c>
      <c r="E6" s="2088">
        <v>66666.666599999997</v>
      </c>
      <c r="F6" s="2088">
        <v>66666.666599999997</v>
      </c>
      <c r="G6" s="2088">
        <v>66666.666599999997</v>
      </c>
      <c r="H6" s="2088">
        <v>66666.666599999997</v>
      </c>
      <c r="I6" s="2088">
        <v>66666.666599999997</v>
      </c>
      <c r="J6" s="2088">
        <v>66666.666599999997</v>
      </c>
      <c r="K6" s="2088">
        <v>66666.666599999997</v>
      </c>
      <c r="L6" s="2088">
        <v>66666.666599999997</v>
      </c>
      <c r="M6" s="2088">
        <v>66666.666599999997</v>
      </c>
      <c r="N6" s="80">
        <f t="shared" ref="N6:N23" si="1">O6-SUM(C6:M6)</f>
        <v>66666.667400000035</v>
      </c>
      <c r="O6" s="83">
        <f>'A5-Capex'!J44</f>
        <v>800000</v>
      </c>
      <c r="P6" s="81">
        <f>'A5-Capex'!K44</f>
        <v>0</v>
      </c>
      <c r="Q6" s="142">
        <f>'A5-Capex'!L44</f>
        <v>0</v>
      </c>
      <c r="R6" s="247"/>
    </row>
    <row r="7" spans="1:18" x14ac:dyDescent="0.25">
      <c r="A7" s="1129" t="str">
        <f>'A5-Capex'!A45</f>
        <v>Budget and treasury office</v>
      </c>
      <c r="B7" s="737"/>
      <c r="C7" s="2114"/>
      <c r="D7" s="2110"/>
      <c r="E7" s="2110"/>
      <c r="F7" s="2110"/>
      <c r="G7" s="2110"/>
      <c r="H7" s="2110"/>
      <c r="I7" s="2110"/>
      <c r="J7" s="2110"/>
      <c r="K7" s="2110"/>
      <c r="L7" s="2110"/>
      <c r="M7" s="2110"/>
      <c r="N7" s="80">
        <f t="shared" si="1"/>
        <v>0</v>
      </c>
      <c r="O7" s="83">
        <f>'A5-Capex'!J45</f>
        <v>0</v>
      </c>
      <c r="P7" s="81">
        <f>'A5-Capex'!K45</f>
        <v>0</v>
      </c>
      <c r="Q7" s="142">
        <f>'A5-Capex'!L45</f>
        <v>0</v>
      </c>
      <c r="R7" s="247"/>
    </row>
    <row r="8" spans="1:18" x14ac:dyDescent="0.25">
      <c r="A8" s="1129" t="str">
        <f>'A5-Capex'!A46</f>
        <v>Corporate services</v>
      </c>
      <c r="B8" s="737"/>
      <c r="C8" s="2107">
        <v>80966.666599999997</v>
      </c>
      <c r="D8" s="2088">
        <v>80966.666599999997</v>
      </c>
      <c r="E8" s="2088">
        <v>80966.666599999997</v>
      </c>
      <c r="F8" s="2088">
        <v>80966.666599999997</v>
      </c>
      <c r="G8" s="2088">
        <v>80966.666599999997</v>
      </c>
      <c r="H8" s="2088">
        <v>80966.666599999997</v>
      </c>
      <c r="I8" s="2088">
        <v>80966.666599999997</v>
      </c>
      <c r="J8" s="2088">
        <v>80966.666599999997</v>
      </c>
      <c r="K8" s="2088">
        <v>80966.666599999997</v>
      </c>
      <c r="L8" s="2088">
        <v>80966.666599999997</v>
      </c>
      <c r="M8" s="2088">
        <v>80966.666599999997</v>
      </c>
      <c r="N8" s="80">
        <f t="shared" si="1"/>
        <v>80966.667400000035</v>
      </c>
      <c r="O8" s="83">
        <f>'A5-Capex'!J46</f>
        <v>971600</v>
      </c>
      <c r="P8" s="81">
        <f>'A5-Capex'!K46</f>
        <v>1029896</v>
      </c>
      <c r="Q8" s="142">
        <f>'A5-Capex'!L46</f>
        <v>1091689.76</v>
      </c>
      <c r="R8" s="247"/>
    </row>
    <row r="9" spans="1:18" x14ac:dyDescent="0.25">
      <c r="A9" s="1128" t="str">
        <f>'A5-Capex'!A47</f>
        <v>Community and public safety</v>
      </c>
      <c r="B9" s="737"/>
      <c r="C9" s="992">
        <f>SUM(C10:C14)</f>
        <v>857696.45816600008</v>
      </c>
      <c r="D9" s="990">
        <f t="shared" ref="D9:M9" si="2">SUM(D10:D14)</f>
        <v>857696.45816600008</v>
      </c>
      <c r="E9" s="990">
        <f t="shared" si="2"/>
        <v>857696.45816600008</v>
      </c>
      <c r="F9" s="990">
        <f t="shared" si="2"/>
        <v>857696.45816600008</v>
      </c>
      <c r="G9" s="990">
        <f t="shared" si="2"/>
        <v>857696.45816600008</v>
      </c>
      <c r="H9" s="990">
        <f t="shared" si="2"/>
        <v>857696.45816600008</v>
      </c>
      <c r="I9" s="990">
        <f t="shared" si="2"/>
        <v>857696.45816600008</v>
      </c>
      <c r="J9" s="990">
        <f t="shared" si="2"/>
        <v>857696.45816600008</v>
      </c>
      <c r="K9" s="990">
        <f t="shared" si="2"/>
        <v>857696.45816600008</v>
      </c>
      <c r="L9" s="990">
        <f t="shared" si="2"/>
        <v>857696.45816600008</v>
      </c>
      <c r="M9" s="990">
        <f t="shared" si="2"/>
        <v>857696.45816600008</v>
      </c>
      <c r="N9" s="95">
        <f t="shared" si="1"/>
        <v>-3860661.039826002</v>
      </c>
      <c r="O9" s="98">
        <f>'A5-Capex'!J47</f>
        <v>5574000</v>
      </c>
      <c r="P9" s="96">
        <f>'A5-Capex'!K47</f>
        <v>5908440</v>
      </c>
      <c r="Q9" s="223">
        <f>'A5-Capex'!L47</f>
        <v>6262946</v>
      </c>
      <c r="R9" s="247"/>
    </row>
    <row r="10" spans="1:18" x14ac:dyDescent="0.25">
      <c r="A10" s="1129" t="str">
        <f>'A5-Capex'!A48</f>
        <v>Community and social services</v>
      </c>
      <c r="B10" s="737"/>
      <c r="C10" s="2107">
        <v>191666.6666</v>
      </c>
      <c r="D10" s="2107">
        <v>191666.6666</v>
      </c>
      <c r="E10" s="2107">
        <v>191666.6666</v>
      </c>
      <c r="F10" s="2107">
        <v>191666.6666</v>
      </c>
      <c r="G10" s="2107">
        <v>191666.6666</v>
      </c>
      <c r="H10" s="2107">
        <v>191666.6666</v>
      </c>
      <c r="I10" s="2107">
        <v>191666.6666</v>
      </c>
      <c r="J10" s="2107">
        <v>191666.6666</v>
      </c>
      <c r="K10" s="2107">
        <v>191666.6666</v>
      </c>
      <c r="L10" s="2107">
        <v>191666.6666</v>
      </c>
      <c r="M10" s="2107">
        <v>191666.6666</v>
      </c>
      <c r="N10" s="80">
        <f t="shared" si="1"/>
        <v>191666.66739999969</v>
      </c>
      <c r="O10" s="83">
        <f>'A5-Capex'!J48</f>
        <v>2300000</v>
      </c>
      <c r="P10" s="81">
        <f>'A5-Capex'!K48</f>
        <v>2438000</v>
      </c>
      <c r="Q10" s="142">
        <f>'A5-Capex'!L48</f>
        <v>2584280</v>
      </c>
      <c r="R10" s="247"/>
    </row>
    <row r="11" spans="1:18" x14ac:dyDescent="0.25">
      <c r="A11" s="1129" t="str">
        <f>'A5-Capex'!A49</f>
        <v>Sport and recreation</v>
      </c>
      <c r="B11" s="737"/>
      <c r="C11" s="2107">
        <v>20833.333299999998</v>
      </c>
      <c r="D11" s="2107">
        <v>20833.333299999998</v>
      </c>
      <c r="E11" s="2107">
        <v>20833.333299999998</v>
      </c>
      <c r="F11" s="2107">
        <v>20833.333299999998</v>
      </c>
      <c r="G11" s="2107">
        <v>20833.333299999998</v>
      </c>
      <c r="H11" s="2107">
        <v>20833.333299999998</v>
      </c>
      <c r="I11" s="2107">
        <v>20833.333299999998</v>
      </c>
      <c r="J11" s="2107">
        <v>20833.333299999998</v>
      </c>
      <c r="K11" s="2107">
        <v>20833.333299999998</v>
      </c>
      <c r="L11" s="2107">
        <v>20833.333299999998</v>
      </c>
      <c r="M11" s="2107">
        <v>20833.333299999998</v>
      </c>
      <c r="N11" s="80">
        <f t="shared" si="1"/>
        <v>20833.333700000017</v>
      </c>
      <c r="O11" s="83">
        <f>'A5-Capex'!J49</f>
        <v>250000</v>
      </c>
      <c r="P11" s="81">
        <f>'A5-Capex'!K49</f>
        <v>265000</v>
      </c>
      <c r="Q11" s="142">
        <f>'A5-Capex'!L49</f>
        <v>280900</v>
      </c>
      <c r="R11" s="247"/>
    </row>
    <row r="12" spans="1:18" x14ac:dyDescent="0.25">
      <c r="A12" s="1129" t="str">
        <f>'A5-Capex'!A50</f>
        <v>Public safety</v>
      </c>
      <c r="B12" s="737"/>
      <c r="C12" s="2107">
        <v>578529.79166600003</v>
      </c>
      <c r="D12" s="2107">
        <v>578529.79166600003</v>
      </c>
      <c r="E12" s="2107">
        <v>578529.79166600003</v>
      </c>
      <c r="F12" s="2107">
        <v>578529.79166600003</v>
      </c>
      <c r="G12" s="2107">
        <v>578529.79166600003</v>
      </c>
      <c r="H12" s="2107">
        <v>578529.79166600003</v>
      </c>
      <c r="I12" s="2107">
        <v>578529.79166600003</v>
      </c>
      <c r="J12" s="2107">
        <v>578529.79166600003</v>
      </c>
      <c r="K12" s="2107">
        <v>578529.79166600003</v>
      </c>
      <c r="L12" s="2107">
        <v>578529.79166600003</v>
      </c>
      <c r="M12" s="2107">
        <v>578529.79166600003</v>
      </c>
      <c r="N12" s="80">
        <f t="shared" si="1"/>
        <v>-4139827.7083260007</v>
      </c>
      <c r="O12" s="83">
        <f>'A5-Capex'!J50</f>
        <v>2224000</v>
      </c>
      <c r="P12" s="81">
        <f>'A5-Capex'!K50</f>
        <v>2357440</v>
      </c>
      <c r="Q12" s="142">
        <f>'A5-Capex'!L50</f>
        <v>2498886</v>
      </c>
      <c r="R12" s="247"/>
    </row>
    <row r="13" spans="1:18" x14ac:dyDescent="0.25">
      <c r="A13" s="1129" t="str">
        <f>'A5-Capex'!A51</f>
        <v>Housing</v>
      </c>
      <c r="B13" s="737"/>
      <c r="C13" s="2107">
        <v>66666.666599999997</v>
      </c>
      <c r="D13" s="2088">
        <v>66666.666599999997</v>
      </c>
      <c r="E13" s="2088">
        <v>66666.666599999997</v>
      </c>
      <c r="F13" s="2088">
        <v>66666.666599999997</v>
      </c>
      <c r="G13" s="2088">
        <v>66666.666599999997</v>
      </c>
      <c r="H13" s="2088">
        <v>66666.666599999997</v>
      </c>
      <c r="I13" s="2088">
        <v>66666.666599999997</v>
      </c>
      <c r="J13" s="2088">
        <v>66666.666599999997</v>
      </c>
      <c r="K13" s="2088">
        <v>66666.666599999997</v>
      </c>
      <c r="L13" s="2088">
        <v>66666.666599999997</v>
      </c>
      <c r="M13" s="2088">
        <v>66666.666599999997</v>
      </c>
      <c r="N13" s="80">
        <f t="shared" si="1"/>
        <v>66666.667400000035</v>
      </c>
      <c r="O13" s="83">
        <f>'A5-Capex'!J51</f>
        <v>800000</v>
      </c>
      <c r="P13" s="81">
        <f>'A5-Capex'!K51</f>
        <v>848000</v>
      </c>
      <c r="Q13" s="142">
        <f>'A5-Capex'!L51</f>
        <v>898880</v>
      </c>
      <c r="R13" s="247"/>
    </row>
    <row r="14" spans="1:18" x14ac:dyDescent="0.25">
      <c r="A14" s="1129" t="str">
        <f>'A5-Capex'!A52</f>
        <v>Health</v>
      </c>
      <c r="B14" s="737"/>
      <c r="C14" s="2107"/>
      <c r="D14" s="2088"/>
      <c r="E14" s="2088"/>
      <c r="F14" s="2088"/>
      <c r="G14" s="2088"/>
      <c r="H14" s="2088"/>
      <c r="I14" s="2088"/>
      <c r="J14" s="2088"/>
      <c r="K14" s="2088"/>
      <c r="L14" s="2088"/>
      <c r="M14" s="2088"/>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4343666.6666000001</v>
      </c>
      <c r="D15" s="990">
        <f t="shared" ref="D15:M15" si="3">SUM(D16:D18)</f>
        <v>4343666.6666000001</v>
      </c>
      <c r="E15" s="990">
        <f t="shared" si="3"/>
        <v>4343666.6666000001</v>
      </c>
      <c r="F15" s="990">
        <f t="shared" si="3"/>
        <v>4343666.6666000001</v>
      </c>
      <c r="G15" s="990">
        <f t="shared" si="3"/>
        <v>4343666.6666000001</v>
      </c>
      <c r="H15" s="990">
        <f t="shared" si="3"/>
        <v>4343666.6666000001</v>
      </c>
      <c r="I15" s="990">
        <f t="shared" si="3"/>
        <v>4343666.6666000001</v>
      </c>
      <c r="J15" s="990">
        <f t="shared" si="3"/>
        <v>4343666.6666000001</v>
      </c>
      <c r="K15" s="990">
        <f t="shared" si="3"/>
        <v>4343666.6666000001</v>
      </c>
      <c r="L15" s="990">
        <f t="shared" si="3"/>
        <v>4343666.6666000001</v>
      </c>
      <c r="M15" s="990">
        <f t="shared" si="3"/>
        <v>4343666.6666000001</v>
      </c>
      <c r="N15" s="95">
        <f t="shared" si="1"/>
        <v>3636666.6673999876</v>
      </c>
      <c r="O15" s="98">
        <f>'A5-Capex'!J53</f>
        <v>51417000</v>
      </c>
      <c r="P15" s="96">
        <f>'A5-Capex'!K53</f>
        <v>54849000</v>
      </c>
      <c r="Q15" s="223">
        <f>'A5-Capex'!L53</f>
        <v>58897200</v>
      </c>
      <c r="R15" s="247"/>
    </row>
    <row r="16" spans="1:18" x14ac:dyDescent="0.25">
      <c r="A16" s="1129" t="str">
        <f>'A5-Capex'!A54</f>
        <v>Planning and development</v>
      </c>
      <c r="B16" s="737"/>
      <c r="C16" s="2107"/>
      <c r="D16" s="2088"/>
      <c r="E16" s="2088"/>
      <c r="F16" s="2088"/>
      <c r="G16" s="2088"/>
      <c r="H16" s="2088"/>
      <c r="I16" s="2088"/>
      <c r="J16" s="2088"/>
      <c r="K16" s="2088"/>
      <c r="L16" s="2088"/>
      <c r="M16" s="2088"/>
      <c r="N16" s="80">
        <f t="shared" si="1"/>
        <v>0</v>
      </c>
      <c r="O16" s="83">
        <f>'A5-Capex'!J54</f>
        <v>0</v>
      </c>
      <c r="P16" s="81">
        <f>'A5-Capex'!K54</f>
        <v>0</v>
      </c>
      <c r="Q16" s="142">
        <f>'A5-Capex'!L54</f>
        <v>0</v>
      </c>
      <c r="R16" s="247"/>
    </row>
    <row r="17" spans="1:20" x14ac:dyDescent="0.25">
      <c r="A17" s="1129" t="str">
        <f>'A5-Capex'!A55</f>
        <v>Road transport</v>
      </c>
      <c r="B17" s="737"/>
      <c r="C17" s="2107">
        <v>4343666.6666000001</v>
      </c>
      <c r="D17" s="2107">
        <v>4343666.6666000001</v>
      </c>
      <c r="E17" s="2107">
        <v>4343666.6666000001</v>
      </c>
      <c r="F17" s="2107">
        <v>4343666.6666000001</v>
      </c>
      <c r="G17" s="2107">
        <v>4343666.6666000001</v>
      </c>
      <c r="H17" s="2107">
        <v>4343666.6666000001</v>
      </c>
      <c r="I17" s="2107">
        <v>4343666.6666000001</v>
      </c>
      <c r="J17" s="2107">
        <v>4343666.6666000001</v>
      </c>
      <c r="K17" s="2107">
        <v>4343666.6666000001</v>
      </c>
      <c r="L17" s="2107">
        <v>4343666.6666000001</v>
      </c>
      <c r="M17" s="2107">
        <v>4343666.6666000001</v>
      </c>
      <c r="N17" s="80">
        <f t="shared" si="1"/>
        <v>3636666.6673999876</v>
      </c>
      <c r="O17" s="83">
        <f>'A5-Capex'!J55</f>
        <v>51417000</v>
      </c>
      <c r="P17" s="81">
        <f>'A5-Capex'!K55</f>
        <v>54849000</v>
      </c>
      <c r="Q17" s="142">
        <f>'A5-Capex'!L55</f>
        <v>58897200</v>
      </c>
      <c r="R17" s="247"/>
    </row>
    <row r="18" spans="1:20" x14ac:dyDescent="0.25">
      <c r="A18" s="1129" t="str">
        <f>'A5-Capex'!A56</f>
        <v>Environmental protection</v>
      </c>
      <c r="B18" s="737"/>
      <c r="C18" s="2107"/>
      <c r="D18" s="2088"/>
      <c r="E18" s="2088"/>
      <c r="F18" s="2088"/>
      <c r="G18" s="2088"/>
      <c r="H18" s="2088"/>
      <c r="I18" s="2088"/>
      <c r="J18" s="2088"/>
      <c r="K18" s="2088"/>
      <c r="L18" s="2088"/>
      <c r="M18" s="2088"/>
      <c r="N18" s="80">
        <f t="shared" si="1"/>
        <v>0</v>
      </c>
      <c r="O18" s="83">
        <f>'A5-Capex'!J56</f>
        <v>0</v>
      </c>
      <c r="P18" s="81">
        <f>'A5-Capex'!K56</f>
        <v>0</v>
      </c>
      <c r="Q18" s="142">
        <f>'A5-Capex'!L56</f>
        <v>0</v>
      </c>
      <c r="R18" s="247"/>
    </row>
    <row r="19" spans="1:20" x14ac:dyDescent="0.25">
      <c r="A19" s="1128" t="str">
        <f>'A5-Capex'!A57</f>
        <v>Trading services</v>
      </c>
      <c r="B19" s="737"/>
      <c r="C19" s="992">
        <f>SUM(C20:C23)</f>
        <v>110000</v>
      </c>
      <c r="D19" s="990">
        <f t="shared" ref="D19:M19" si="4">SUM(D20:D23)</f>
        <v>110000</v>
      </c>
      <c r="E19" s="990">
        <f t="shared" si="4"/>
        <v>110000</v>
      </c>
      <c r="F19" s="990">
        <f t="shared" si="4"/>
        <v>110000</v>
      </c>
      <c r="G19" s="990">
        <f t="shared" si="4"/>
        <v>110000</v>
      </c>
      <c r="H19" s="990">
        <f t="shared" si="4"/>
        <v>110000</v>
      </c>
      <c r="I19" s="990">
        <f t="shared" si="4"/>
        <v>110000</v>
      </c>
      <c r="J19" s="990">
        <f t="shared" si="4"/>
        <v>110000</v>
      </c>
      <c r="K19" s="990">
        <f t="shared" si="4"/>
        <v>110000</v>
      </c>
      <c r="L19" s="990">
        <f t="shared" si="4"/>
        <v>110000</v>
      </c>
      <c r="M19" s="990">
        <f t="shared" si="4"/>
        <v>110000</v>
      </c>
      <c r="N19" s="95">
        <f>O19-SUM(C19:M19)</f>
        <v>5535358</v>
      </c>
      <c r="O19" s="98">
        <f>'A5-Capex'!J57</f>
        <v>6745358</v>
      </c>
      <c r="P19" s="96">
        <f>'A5-Capex'!K57</f>
        <v>7150079</v>
      </c>
      <c r="Q19" s="223">
        <f>'A5-Capex'!L57</f>
        <v>7579084</v>
      </c>
      <c r="R19" s="247"/>
    </row>
    <row r="20" spans="1:20" x14ac:dyDescent="0.25">
      <c r="A20" s="1129" t="str">
        <f>'A5-Capex'!A58</f>
        <v>Electricity</v>
      </c>
      <c r="B20" s="737"/>
      <c r="C20" s="2107"/>
      <c r="D20" s="2088"/>
      <c r="E20" s="2088"/>
      <c r="F20" s="2088"/>
      <c r="G20" s="2088"/>
      <c r="H20" s="2088"/>
      <c r="I20" s="2088"/>
      <c r="J20" s="2088"/>
      <c r="K20" s="2088"/>
      <c r="L20" s="2088"/>
      <c r="M20" s="2088"/>
      <c r="N20" s="80">
        <f t="shared" si="1"/>
        <v>5425358</v>
      </c>
      <c r="O20" s="83">
        <f>'A5-Capex'!J58</f>
        <v>5425358</v>
      </c>
      <c r="P20" s="81">
        <f>'A5-Capex'!K58</f>
        <v>5750879</v>
      </c>
      <c r="Q20" s="142">
        <f>'A5-Capex'!L58</f>
        <v>6095932</v>
      </c>
      <c r="R20" s="247"/>
    </row>
    <row r="21" spans="1:20" x14ac:dyDescent="0.25">
      <c r="A21" s="1129" t="str">
        <f>'A5-Capex'!A59</f>
        <v>Water</v>
      </c>
      <c r="B21" s="737"/>
      <c r="C21" s="2107"/>
      <c r="D21" s="2088"/>
      <c r="E21" s="2088"/>
      <c r="F21" s="2088"/>
      <c r="G21" s="2088"/>
      <c r="H21" s="2088"/>
      <c r="I21" s="2088"/>
      <c r="J21" s="2088"/>
      <c r="K21" s="2088"/>
      <c r="L21" s="2088"/>
      <c r="M21" s="2088"/>
      <c r="N21" s="80">
        <f t="shared" si="1"/>
        <v>0</v>
      </c>
      <c r="O21" s="83">
        <f>'A5-Capex'!J59</f>
        <v>0</v>
      </c>
      <c r="P21" s="81">
        <f>'A5-Capex'!K59</f>
        <v>0</v>
      </c>
      <c r="Q21" s="142">
        <f>'A5-Capex'!L59</f>
        <v>0</v>
      </c>
      <c r="R21" s="247"/>
    </row>
    <row r="22" spans="1:20" x14ac:dyDescent="0.25">
      <c r="A22" s="1129" t="str">
        <f>'A5-Capex'!A60</f>
        <v>Waste water management</v>
      </c>
      <c r="B22" s="737"/>
      <c r="C22" s="2107"/>
      <c r="D22" s="2088"/>
      <c r="E22" s="2088"/>
      <c r="F22" s="2088"/>
      <c r="G22" s="2088"/>
      <c r="H22" s="2088"/>
      <c r="I22" s="2088"/>
      <c r="J22" s="2088"/>
      <c r="K22" s="2088"/>
      <c r="L22" s="2088"/>
      <c r="M22" s="2088"/>
      <c r="N22" s="80">
        <f t="shared" si="1"/>
        <v>0</v>
      </c>
      <c r="O22" s="83">
        <f>'A5-Capex'!J60</f>
        <v>0</v>
      </c>
      <c r="P22" s="81">
        <f>'A5-Capex'!K60</f>
        <v>0</v>
      </c>
      <c r="Q22" s="142">
        <f>'A5-Capex'!L60</f>
        <v>0</v>
      </c>
      <c r="R22" s="247"/>
    </row>
    <row r="23" spans="1:20" x14ac:dyDescent="0.25">
      <c r="A23" s="1129" t="str">
        <f>'A5-Capex'!A61</f>
        <v>Waste management</v>
      </c>
      <c r="B23" s="737"/>
      <c r="C23" s="2107">
        <v>110000</v>
      </c>
      <c r="D23" s="2107">
        <v>110000</v>
      </c>
      <c r="E23" s="2107">
        <v>110000</v>
      </c>
      <c r="F23" s="2107">
        <v>110000</v>
      </c>
      <c r="G23" s="2107">
        <v>110000</v>
      </c>
      <c r="H23" s="2107">
        <v>110000</v>
      </c>
      <c r="I23" s="2107">
        <v>110000</v>
      </c>
      <c r="J23" s="2107">
        <v>110000</v>
      </c>
      <c r="K23" s="2107">
        <v>110000</v>
      </c>
      <c r="L23" s="2107">
        <v>110000</v>
      </c>
      <c r="M23" s="2107">
        <v>110000</v>
      </c>
      <c r="N23" s="80">
        <f t="shared" si="1"/>
        <v>110000</v>
      </c>
      <c r="O23" s="83">
        <f>'A5-Capex'!J61</f>
        <v>1320000</v>
      </c>
      <c r="P23" s="81">
        <f>'A5-Capex'!K61</f>
        <v>1399200</v>
      </c>
      <c r="Q23" s="142">
        <f>'A5-Capex'!L61</f>
        <v>1483152</v>
      </c>
      <c r="R23" s="247"/>
    </row>
    <row r="24" spans="1:20" x14ac:dyDescent="0.25">
      <c r="A24" s="1128" t="str">
        <f>'A5-Capex'!A62</f>
        <v>Other</v>
      </c>
      <c r="B24" s="737"/>
      <c r="C24" s="2123"/>
      <c r="D24" s="2121"/>
      <c r="E24" s="2121"/>
      <c r="F24" s="2121"/>
      <c r="G24" s="2121"/>
      <c r="H24" s="2121"/>
      <c r="I24" s="2121"/>
      <c r="J24" s="2121"/>
      <c r="K24" s="2121"/>
      <c r="L24" s="2121"/>
      <c r="M24" s="2121"/>
      <c r="N24" s="95">
        <f>O24-SUM(C24:M24)</f>
        <v>0</v>
      </c>
      <c r="O24" s="98">
        <f>'A5-Capex'!J62</f>
        <v>0</v>
      </c>
      <c r="P24" s="96">
        <f>'A5-Capex'!K62</f>
        <v>0</v>
      </c>
      <c r="Q24" s="223">
        <f>'A5-Capex'!L62</f>
        <v>0</v>
      </c>
      <c r="R24" s="247"/>
    </row>
    <row r="25" spans="1:20" x14ac:dyDescent="0.25">
      <c r="A25" s="722" t="str">
        <f>'A5-Capex'!A63</f>
        <v>Total Capital Expenditure - Standard</v>
      </c>
      <c r="B25" s="754">
        <v>2</v>
      </c>
      <c r="C25" s="232">
        <f>C5+C9+C15+C19+C24</f>
        <v>5458996.4579659998</v>
      </c>
      <c r="D25" s="105">
        <f t="shared" ref="D25:Q25" si="5">D5+D9+D15+D19+D24</f>
        <v>5458996.4579659998</v>
      </c>
      <c r="E25" s="105">
        <f t="shared" si="5"/>
        <v>5458996.4579659998</v>
      </c>
      <c r="F25" s="105">
        <f t="shared" si="5"/>
        <v>5458996.4579659998</v>
      </c>
      <c r="G25" s="105">
        <f t="shared" si="5"/>
        <v>5458996.4579659998</v>
      </c>
      <c r="H25" s="105">
        <f t="shared" si="5"/>
        <v>5458996.4579659998</v>
      </c>
      <c r="I25" s="105">
        <f t="shared" si="5"/>
        <v>5458996.4579659998</v>
      </c>
      <c r="J25" s="105">
        <f t="shared" si="5"/>
        <v>5458996.4579659998</v>
      </c>
      <c r="K25" s="105">
        <f t="shared" si="5"/>
        <v>5458996.4579659998</v>
      </c>
      <c r="L25" s="105">
        <f t="shared" si="5"/>
        <v>5458996.4579659998</v>
      </c>
      <c r="M25" s="105">
        <f t="shared" si="5"/>
        <v>5458996.4579659998</v>
      </c>
      <c r="N25" s="1665">
        <f>N5+N9+N15+N19+N24</f>
        <v>5458996.9623739859</v>
      </c>
      <c r="O25" s="232">
        <f t="shared" si="5"/>
        <v>65507958</v>
      </c>
      <c r="P25" s="105">
        <f t="shared" si="5"/>
        <v>68937415</v>
      </c>
      <c r="Q25" s="692">
        <f t="shared" si="5"/>
        <v>73830919.75999999</v>
      </c>
      <c r="R25" s="247"/>
    </row>
    <row r="26" spans="1:20" ht="7.5" customHeight="1" x14ac:dyDescent="0.25">
      <c r="A26" s="1143"/>
      <c r="B26" s="2019"/>
      <c r="C26" s="2020"/>
      <c r="D26" s="271"/>
      <c r="E26" s="271"/>
      <c r="F26" s="271"/>
      <c r="G26" s="271"/>
      <c r="H26" s="271"/>
      <c r="I26" s="271"/>
      <c r="J26" s="271"/>
      <c r="K26" s="271"/>
      <c r="L26" s="271"/>
      <c r="M26" s="271"/>
      <c r="N26" s="1664"/>
      <c r="O26" s="1323"/>
      <c r="P26" s="271"/>
      <c r="Q26" s="501"/>
      <c r="R26" s="247"/>
    </row>
    <row r="27" spans="1:20" s="586" customFormat="1" x14ac:dyDescent="0.25">
      <c r="A27" s="59" t="s">
        <v>467</v>
      </c>
      <c r="B27" s="171"/>
      <c r="C27" s="81"/>
      <c r="D27" s="81"/>
      <c r="E27" s="81"/>
      <c r="F27" s="81"/>
      <c r="G27" s="81"/>
      <c r="H27" s="81"/>
      <c r="I27" s="81"/>
      <c r="J27" s="81"/>
      <c r="K27" s="81"/>
      <c r="L27" s="81"/>
      <c r="M27" s="2021"/>
      <c r="N27" s="2023"/>
      <c r="O27" s="2024"/>
      <c r="P27" s="2021"/>
      <c r="Q27" s="2022"/>
      <c r="R27" s="946"/>
      <c r="S27" s="946"/>
      <c r="T27" s="946"/>
    </row>
    <row r="28" spans="1:20" s="586" customFormat="1" x14ac:dyDescent="0.25">
      <c r="A28" s="295" t="s">
        <v>1484</v>
      </c>
      <c r="B28" s="171"/>
      <c r="C28" s="2088">
        <v>2659750</v>
      </c>
      <c r="D28" s="2088">
        <v>2659750</v>
      </c>
      <c r="E28" s="2088">
        <v>2659750</v>
      </c>
      <c r="F28" s="2088">
        <v>2659750</v>
      </c>
      <c r="G28" s="2088">
        <v>2659750</v>
      </c>
      <c r="H28" s="2088">
        <v>2659750</v>
      </c>
      <c r="I28" s="2088">
        <v>2659750</v>
      </c>
      <c r="J28" s="2088">
        <v>2659750</v>
      </c>
      <c r="K28" s="2088">
        <v>2659750</v>
      </c>
      <c r="L28" s="2088">
        <v>2659750</v>
      </c>
      <c r="M28" s="2088">
        <v>2659750</v>
      </c>
      <c r="N28" s="1263">
        <f>O28-SUM(C28:M28)</f>
        <v>1142750</v>
      </c>
      <c r="O28" s="994">
        <f>'A5-Capex'!J66</f>
        <v>30400000</v>
      </c>
      <c r="P28" s="990">
        <f>'A5-Capex'!K66</f>
        <v>32570980</v>
      </c>
      <c r="Q28" s="1264">
        <f>'A5-Capex'!L66</f>
        <v>35282498.799999997</v>
      </c>
      <c r="R28" s="946"/>
      <c r="S28" s="946"/>
      <c r="T28" s="946"/>
    </row>
    <row r="29" spans="1:20" s="586" customFormat="1" x14ac:dyDescent="0.25">
      <c r="A29" s="295" t="s">
        <v>518</v>
      </c>
      <c r="B29" s="171"/>
      <c r="C29" s="2110"/>
      <c r="D29" s="2088"/>
      <c r="E29" s="2088"/>
      <c r="F29" s="2088"/>
      <c r="G29" s="2088"/>
      <c r="H29" s="2088"/>
      <c r="I29" s="2088"/>
      <c r="J29" s="2088"/>
      <c r="K29" s="2088"/>
      <c r="L29" s="2088"/>
      <c r="M29" s="2088"/>
      <c r="N29" s="2026">
        <f t="shared" ref="N29:N35" si="6">O29-SUM(C29:M29)</f>
        <v>0</v>
      </c>
      <c r="O29" s="1083">
        <f>'A5-Capex'!J67</f>
        <v>0</v>
      </c>
      <c r="P29" s="1079">
        <f>'A5-Capex'!K67</f>
        <v>0</v>
      </c>
      <c r="Q29" s="1617">
        <f>'A5-Capex'!L67</f>
        <v>0</v>
      </c>
    </row>
    <row r="30" spans="1:20" x14ac:dyDescent="0.25">
      <c r="A30" s="295" t="s">
        <v>519</v>
      </c>
      <c r="B30" s="171"/>
      <c r="C30" s="2110"/>
      <c r="D30" s="2110"/>
      <c r="E30" s="2110"/>
      <c r="F30" s="2110"/>
      <c r="G30" s="2110"/>
      <c r="H30" s="2110"/>
      <c r="I30" s="2088"/>
      <c r="J30" s="2110"/>
      <c r="K30" s="2110"/>
      <c r="L30" s="2110"/>
      <c r="M30" s="2088"/>
      <c r="N30" s="2026">
        <f t="shared" si="6"/>
        <v>0</v>
      </c>
      <c r="O30" s="2027">
        <f>'A5-Capex'!J68</f>
        <v>0</v>
      </c>
      <c r="P30" s="2028">
        <f>'A5-Capex'!K68</f>
        <v>0</v>
      </c>
      <c r="Q30" s="2029">
        <f>'A5-Capex'!L68</f>
        <v>0</v>
      </c>
    </row>
    <row r="31" spans="1:20" x14ac:dyDescent="0.25">
      <c r="A31" s="1138" t="s">
        <v>989</v>
      </c>
      <c r="B31" s="171"/>
      <c r="C31" s="2110"/>
      <c r="D31" s="2110"/>
      <c r="E31" s="2110"/>
      <c r="F31" s="2110"/>
      <c r="G31" s="2110"/>
      <c r="H31" s="2110"/>
      <c r="I31" s="2088"/>
      <c r="J31" s="2110"/>
      <c r="K31" s="2110"/>
      <c r="L31" s="2110"/>
      <c r="M31" s="2088"/>
      <c r="N31" s="2026">
        <f>O31-SUM(C31:M31)</f>
        <v>0</v>
      </c>
      <c r="O31" s="1083">
        <f>'A5-Capex'!J69</f>
        <v>0</v>
      </c>
      <c r="P31" s="1079">
        <f>'A5-Capex'!K69</f>
        <v>0</v>
      </c>
      <c r="Q31" s="1617">
        <f>'A5-Capex'!L69</f>
        <v>0</v>
      </c>
    </row>
    <row r="32" spans="1:20" x14ac:dyDescent="0.25">
      <c r="A32" s="1399" t="s">
        <v>1291</v>
      </c>
      <c r="B32" s="171"/>
      <c r="C32" s="91">
        <f t="shared" ref="C32:Q32" si="7">SUM(C28:C31)</f>
        <v>2659750</v>
      </c>
      <c r="D32" s="91">
        <f t="shared" si="7"/>
        <v>2659750</v>
      </c>
      <c r="E32" s="91">
        <f t="shared" si="7"/>
        <v>2659750</v>
      </c>
      <c r="F32" s="91">
        <f t="shared" si="7"/>
        <v>2659750</v>
      </c>
      <c r="G32" s="91">
        <f t="shared" si="7"/>
        <v>2659750</v>
      </c>
      <c r="H32" s="91">
        <f t="shared" si="7"/>
        <v>2659750</v>
      </c>
      <c r="I32" s="91">
        <f t="shared" si="7"/>
        <v>2659750</v>
      </c>
      <c r="J32" s="91">
        <f t="shared" si="7"/>
        <v>2659750</v>
      </c>
      <c r="K32" s="91">
        <f t="shared" si="7"/>
        <v>2659750</v>
      </c>
      <c r="L32" s="91">
        <f t="shared" si="7"/>
        <v>2659750</v>
      </c>
      <c r="M32" s="91">
        <f t="shared" si="7"/>
        <v>2659750</v>
      </c>
      <c r="N32" s="2030">
        <f>SUM(N28:N31)</f>
        <v>1142750</v>
      </c>
      <c r="O32" s="2031">
        <f t="shared" si="7"/>
        <v>30400000</v>
      </c>
      <c r="P32" s="2032">
        <f t="shared" si="7"/>
        <v>32570980</v>
      </c>
      <c r="Q32" s="2030">
        <f t="shared" si="7"/>
        <v>35282498.799999997</v>
      </c>
    </row>
    <row r="33" spans="1:17" x14ac:dyDescent="0.25">
      <c r="A33" s="294" t="s">
        <v>434</v>
      </c>
      <c r="B33" s="171"/>
      <c r="C33" s="2110"/>
      <c r="D33" s="2088"/>
      <c r="E33" s="2088"/>
      <c r="F33" s="2088"/>
      <c r="G33" s="2088"/>
      <c r="H33" s="2088"/>
      <c r="I33" s="2088"/>
      <c r="J33" s="2088"/>
      <c r="K33" s="2088"/>
      <c r="L33" s="2088"/>
      <c r="M33" s="2088"/>
      <c r="N33" s="2026">
        <f t="shared" si="6"/>
        <v>0</v>
      </c>
      <c r="O33" s="1083">
        <f>'A5-Capex'!J71</f>
        <v>0</v>
      </c>
      <c r="P33" s="1079">
        <f>'A5-Capex'!K71</f>
        <v>0</v>
      </c>
      <c r="Q33" s="1617">
        <f>'A5-Capex'!L71</f>
        <v>0</v>
      </c>
    </row>
    <row r="34" spans="1:17" x14ac:dyDescent="0.25">
      <c r="A34" s="294" t="s">
        <v>1231</v>
      </c>
      <c r="B34" s="171"/>
      <c r="C34" s="2088"/>
      <c r="D34" s="2088"/>
      <c r="E34" s="2088"/>
      <c r="F34" s="2088"/>
      <c r="G34" s="2088"/>
      <c r="H34" s="2088"/>
      <c r="I34" s="2088"/>
      <c r="J34" s="2088"/>
      <c r="K34" s="2088"/>
      <c r="L34" s="2088"/>
      <c r="M34" s="2088"/>
      <c r="N34" s="2026">
        <f t="shared" si="6"/>
        <v>0</v>
      </c>
      <c r="O34" s="1083">
        <f>'A5-Capex'!J72</f>
        <v>0</v>
      </c>
      <c r="P34" s="1079">
        <f>'A5-Capex'!K72</f>
        <v>0</v>
      </c>
      <c r="Q34" s="1617">
        <f>'A5-Capex'!L72</f>
        <v>0</v>
      </c>
    </row>
    <row r="35" spans="1:17" x14ac:dyDescent="0.25">
      <c r="A35" s="294" t="s">
        <v>468</v>
      </c>
      <c r="B35" s="171"/>
      <c r="C35" s="2088">
        <v>2799246.4583299998</v>
      </c>
      <c r="D35" s="2088">
        <v>2799246.4583299998</v>
      </c>
      <c r="E35" s="2088">
        <v>2799246.4583299998</v>
      </c>
      <c r="F35" s="2088">
        <v>2799246.4583299998</v>
      </c>
      <c r="G35" s="2088">
        <v>2799246.4583299998</v>
      </c>
      <c r="H35" s="2088">
        <v>2799246.4583299998</v>
      </c>
      <c r="I35" s="2088">
        <v>2799246.4583299998</v>
      </c>
      <c r="J35" s="2088">
        <v>2799246.4583299998</v>
      </c>
      <c r="K35" s="2088">
        <v>2799246.4583299998</v>
      </c>
      <c r="L35" s="2088">
        <v>2799246.4583299998</v>
      </c>
      <c r="M35" s="2088">
        <v>2799246.4583299998</v>
      </c>
      <c r="N35" s="2026">
        <f t="shared" si="6"/>
        <v>4316246.4583700076</v>
      </c>
      <c r="O35" s="1083">
        <f>'A5-Capex'!J73</f>
        <v>35107957.5</v>
      </c>
      <c r="P35" s="1079">
        <f>'A5-Capex'!K73</f>
        <v>36366434.950000003</v>
      </c>
      <c r="Q35" s="1617">
        <f>'A5-Capex'!L73</f>
        <v>38548421.049999997</v>
      </c>
    </row>
    <row r="36" spans="1:17" x14ac:dyDescent="0.25">
      <c r="A36" s="102" t="s">
        <v>736</v>
      </c>
      <c r="B36" s="184"/>
      <c r="C36" s="108">
        <f t="shared" ref="C36:Q36" si="8">SUM(C32:C35)</f>
        <v>5458996.4583299998</v>
      </c>
      <c r="D36" s="108">
        <f t="shared" si="8"/>
        <v>5458996.4583299998</v>
      </c>
      <c r="E36" s="108">
        <f t="shared" si="8"/>
        <v>5458996.4583299998</v>
      </c>
      <c r="F36" s="108">
        <f t="shared" si="8"/>
        <v>5458996.4583299998</v>
      </c>
      <c r="G36" s="108">
        <f t="shared" si="8"/>
        <v>5458996.4583299998</v>
      </c>
      <c r="H36" s="108">
        <f t="shared" si="8"/>
        <v>5458996.4583299998</v>
      </c>
      <c r="I36" s="108">
        <f t="shared" si="8"/>
        <v>5458996.4583299998</v>
      </c>
      <c r="J36" s="108">
        <f t="shared" si="8"/>
        <v>5458996.4583299998</v>
      </c>
      <c r="K36" s="108">
        <f t="shared" si="8"/>
        <v>5458996.4583299998</v>
      </c>
      <c r="L36" s="108">
        <f t="shared" si="8"/>
        <v>5458996.4583299998</v>
      </c>
      <c r="M36" s="2025">
        <f t="shared" si="8"/>
        <v>5458996.4583299998</v>
      </c>
      <c r="N36" s="2033">
        <f>SUM(N32:N35)</f>
        <v>5458996.4583700076</v>
      </c>
      <c r="O36" s="2034">
        <f t="shared" si="8"/>
        <v>65507957.5</v>
      </c>
      <c r="P36" s="2035">
        <f t="shared" si="8"/>
        <v>68937414.950000003</v>
      </c>
      <c r="Q36" s="2036">
        <f t="shared" si="8"/>
        <v>73830919.849999994</v>
      </c>
    </row>
    <row r="37" spans="1:17" x14ac:dyDescent="0.25">
      <c r="A37" s="1275" t="str">
        <f>head27a</f>
        <v>References</v>
      </c>
      <c r="B37" s="947"/>
      <c r="C37" s="899"/>
      <c r="D37" s="899"/>
      <c r="E37" s="899"/>
      <c r="F37" s="899"/>
      <c r="G37" s="899"/>
      <c r="H37" s="899"/>
      <c r="I37" s="899"/>
      <c r="J37" s="899"/>
      <c r="K37" s="899"/>
      <c r="L37" s="899"/>
    </row>
    <row r="38" spans="1:17" x14ac:dyDescent="0.25">
      <c r="A38" s="1271" t="s">
        <v>748</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1455</v>
      </c>
      <c r="B40" s="314"/>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3" activePane="bottomRight" state="frozen"/>
      <selection pane="topRight"/>
      <selection pane="bottomLeft"/>
      <selection pane="bottomRight" activeCell="O56" sqref="O56"/>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LIM471 Ephraim Mogale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53" t="str">
        <f>Head9</f>
        <v>Budget Year 2016/17</v>
      </c>
      <c r="C2" s="2654"/>
      <c r="D2" s="2654"/>
      <c r="E2" s="2654"/>
      <c r="F2" s="2654"/>
      <c r="G2" s="2654"/>
      <c r="H2" s="2654"/>
      <c r="I2" s="2654"/>
      <c r="J2" s="2654"/>
      <c r="K2" s="2654"/>
      <c r="L2" s="2654"/>
      <c r="M2" s="2654"/>
      <c r="N2" s="2650" t="s">
        <v>1703</v>
      </c>
      <c r="O2" s="2651"/>
      <c r="P2" s="2652"/>
    </row>
    <row r="3" spans="1:22" ht="25.5" x14ac:dyDescent="0.25">
      <c r="A3" s="58" t="s">
        <v>625</v>
      </c>
      <c r="B3" s="177" t="s">
        <v>682</v>
      </c>
      <c r="C3" s="801" t="s">
        <v>1352</v>
      </c>
      <c r="D3" s="801" t="s">
        <v>1353</v>
      </c>
      <c r="E3" s="801" t="s">
        <v>1354</v>
      </c>
      <c r="F3" s="801" t="s">
        <v>663</v>
      </c>
      <c r="G3" s="801" t="s">
        <v>664</v>
      </c>
      <c r="H3" s="801" t="s">
        <v>665</v>
      </c>
      <c r="I3" s="801" t="s">
        <v>666</v>
      </c>
      <c r="J3" s="801" t="s">
        <v>667</v>
      </c>
      <c r="K3" s="801" t="s">
        <v>668</v>
      </c>
      <c r="L3" s="801" t="s">
        <v>669</v>
      </c>
      <c r="M3" s="268" t="s">
        <v>670</v>
      </c>
      <c r="N3" s="177" t="str">
        <f>Head9</f>
        <v>Budget Year 2016/17</v>
      </c>
      <c r="O3" s="267" t="str">
        <f>Head10</f>
        <v>Budget Year +1 2017/18</v>
      </c>
      <c r="P3" s="268" t="str">
        <f>Head11</f>
        <v>Budget Year +2 2018/19</v>
      </c>
    </row>
    <row r="4" spans="1:22" x14ac:dyDescent="0.25">
      <c r="A4" s="127" t="s">
        <v>866</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2107">
        <v>2364361.3716600002</v>
      </c>
      <c r="C5" s="2107">
        <v>2364361.3716600002</v>
      </c>
      <c r="D5" s="2107">
        <v>2364361.3716600002</v>
      </c>
      <c r="E5" s="2107">
        <v>2364361.3716600002</v>
      </c>
      <c r="F5" s="2107">
        <v>2364361.3716600002</v>
      </c>
      <c r="G5" s="2107">
        <v>2364361.3716600002</v>
      </c>
      <c r="H5" s="2107">
        <v>2364361.3716600002</v>
      </c>
      <c r="I5" s="2107">
        <v>2364361.3716600002</v>
      </c>
      <c r="J5" s="2107">
        <v>2364361.3716600002</v>
      </c>
      <c r="K5" s="2107">
        <v>2364361.3716600002</v>
      </c>
      <c r="L5" s="2107">
        <v>2364361.3716600002</v>
      </c>
      <c r="M5" s="82">
        <f t="shared" ref="M5:M20" si="0">N5-SUM(B5:L5)</f>
        <v>2364361.3707399964</v>
      </c>
      <c r="N5" s="2090">
        <v>28372336.459000003</v>
      </c>
      <c r="O5" s="2088">
        <v>30074676.646540001</v>
      </c>
      <c r="P5" s="2091">
        <v>31879157.245332401</v>
      </c>
      <c r="Q5" s="2108">
        <v>100001</v>
      </c>
      <c r="R5" s="2107">
        <v>100001</v>
      </c>
      <c r="S5" s="2107">
        <v>100001</v>
      </c>
      <c r="T5" s="247"/>
      <c r="U5" s="247"/>
      <c r="V5" s="247"/>
    </row>
    <row r="6" spans="1:22" x14ac:dyDescent="0.25">
      <c r="A6" s="128" t="str">
        <f>'A4-FinPerf RE'!A6</f>
        <v>Property rates - penalties &amp; collection charges</v>
      </c>
      <c r="B6" s="2107"/>
      <c r="C6" s="2088"/>
      <c r="D6" s="2088"/>
      <c r="E6" s="2088"/>
      <c r="F6" s="2088"/>
      <c r="G6" s="2088"/>
      <c r="H6" s="2088"/>
      <c r="I6" s="2088"/>
      <c r="J6" s="2088"/>
      <c r="K6" s="2088"/>
      <c r="L6" s="2088"/>
      <c r="M6" s="82">
        <f t="shared" si="0"/>
        <v>0</v>
      </c>
      <c r="N6" s="2090"/>
      <c r="O6" s="2088"/>
      <c r="P6" s="2091"/>
      <c r="T6" s="247"/>
      <c r="U6" s="247"/>
      <c r="V6" s="247"/>
    </row>
    <row r="7" spans="1:22" x14ac:dyDescent="0.25">
      <c r="A7" s="128" t="str">
        <f>'A4-FinPerf RE'!A7</f>
        <v>Service charges - electricity revenue</v>
      </c>
      <c r="B7" s="2107">
        <v>4526221.5983300004</v>
      </c>
      <c r="C7" s="2107">
        <v>4526221.5983300004</v>
      </c>
      <c r="D7" s="2107">
        <v>4526221.5983300004</v>
      </c>
      <c r="E7" s="2107">
        <v>4526221.5983300004</v>
      </c>
      <c r="F7" s="2107">
        <v>4526221.5983300004</v>
      </c>
      <c r="G7" s="2107">
        <v>4526221.5983300004</v>
      </c>
      <c r="H7" s="2107">
        <v>4526221.5983300004</v>
      </c>
      <c r="I7" s="2107">
        <v>4526221.5983300004</v>
      </c>
      <c r="J7" s="2107">
        <v>4526221.5983300004</v>
      </c>
      <c r="K7" s="2107">
        <v>4526221.5983300004</v>
      </c>
      <c r="L7" s="2107">
        <v>4526221.5983300004</v>
      </c>
      <c r="M7" s="82">
        <f t="shared" si="0"/>
        <v>4526221.5948900133</v>
      </c>
      <c r="N7" s="2090">
        <v>54314659.176520005</v>
      </c>
      <c r="O7" s="2088">
        <v>57573538.727111198</v>
      </c>
      <c r="P7" s="2091">
        <v>61027951.050737873</v>
      </c>
      <c r="T7" s="247"/>
      <c r="U7" s="247"/>
      <c r="V7" s="247"/>
    </row>
    <row r="8" spans="1:22" x14ac:dyDescent="0.25">
      <c r="A8" s="128" t="str">
        <f>'A4-FinPerf RE'!A8</f>
        <v>Service charges - water revenue</v>
      </c>
      <c r="B8" s="2107"/>
      <c r="C8" s="2088"/>
      <c r="D8" s="2088"/>
      <c r="E8" s="2088"/>
      <c r="F8" s="2088"/>
      <c r="G8" s="2088"/>
      <c r="H8" s="2088"/>
      <c r="I8" s="2088"/>
      <c r="J8" s="2088"/>
      <c r="K8" s="2088"/>
      <c r="L8" s="2088"/>
      <c r="M8" s="82">
        <f t="shared" si="0"/>
        <v>0</v>
      </c>
      <c r="N8" s="2090">
        <v>0</v>
      </c>
      <c r="O8" s="2088">
        <v>0</v>
      </c>
      <c r="P8" s="2091">
        <v>0</v>
      </c>
      <c r="T8" s="247"/>
      <c r="U8" s="247"/>
      <c r="V8" s="247"/>
    </row>
    <row r="9" spans="1:22" x14ac:dyDescent="0.25">
      <c r="A9" s="128" t="str">
        <f>'A4-FinPerf RE'!A9</f>
        <v>Service charges - sanitation revenue</v>
      </c>
      <c r="B9" s="2107"/>
      <c r="C9" s="2088"/>
      <c r="D9" s="2088"/>
      <c r="E9" s="2088"/>
      <c r="F9" s="2088"/>
      <c r="G9" s="2088"/>
      <c r="H9" s="2088"/>
      <c r="I9" s="2088"/>
      <c r="J9" s="2088"/>
      <c r="K9" s="2088"/>
      <c r="L9" s="2088"/>
      <c r="M9" s="82">
        <f t="shared" si="0"/>
        <v>0</v>
      </c>
      <c r="N9" s="2090">
        <v>0</v>
      </c>
      <c r="O9" s="2088">
        <v>0</v>
      </c>
      <c r="P9" s="2091">
        <v>0</v>
      </c>
      <c r="T9" s="247"/>
      <c r="U9" s="247"/>
      <c r="V9" s="247"/>
    </row>
    <row r="10" spans="1:22" x14ac:dyDescent="0.25">
      <c r="A10" s="128" t="str">
        <f>'A4-FinPerf RE'!A10</f>
        <v>Service charges - refuse revenue</v>
      </c>
      <c r="B10" s="2107">
        <v>367293.54166599998</v>
      </c>
      <c r="C10" s="2107">
        <v>367293.54166599998</v>
      </c>
      <c r="D10" s="2107">
        <v>367293.54166599998</v>
      </c>
      <c r="E10" s="2107">
        <v>367293.54166599998</v>
      </c>
      <c r="F10" s="2107">
        <v>367293.54166599998</v>
      </c>
      <c r="G10" s="2107">
        <v>367293.54166599998</v>
      </c>
      <c r="H10" s="2107">
        <v>367293.54166599998</v>
      </c>
      <c r="I10" s="2107">
        <v>367293.54166599998</v>
      </c>
      <c r="J10" s="2107">
        <v>367293.54166599998</v>
      </c>
      <c r="K10" s="2107">
        <v>367293.54166599998</v>
      </c>
      <c r="L10" s="2107">
        <v>367293.54166599998</v>
      </c>
      <c r="M10" s="82">
        <f t="shared" si="0"/>
        <v>367293.53707400057</v>
      </c>
      <c r="N10" s="2090">
        <v>4407522.4954000013</v>
      </c>
      <c r="O10" s="2088">
        <v>4671973.8451239998</v>
      </c>
      <c r="P10" s="2091">
        <v>4952292.2758314405</v>
      </c>
      <c r="T10" s="247"/>
      <c r="U10" s="247"/>
      <c r="V10" s="247"/>
    </row>
    <row r="11" spans="1:22" x14ac:dyDescent="0.25">
      <c r="A11" s="128" t="str">
        <f>'A4-FinPerf RE'!A11</f>
        <v>Service charges - other</v>
      </c>
      <c r="B11" s="2107"/>
      <c r="C11" s="2088"/>
      <c r="D11" s="2088"/>
      <c r="E11" s="2088"/>
      <c r="F11" s="2088"/>
      <c r="G11" s="2088"/>
      <c r="H11" s="2088"/>
      <c r="I11" s="2088"/>
      <c r="J11" s="2088"/>
      <c r="K11" s="2088"/>
      <c r="L11" s="2088"/>
      <c r="M11" s="82">
        <f t="shared" si="0"/>
        <v>0</v>
      </c>
      <c r="N11" s="2090"/>
      <c r="O11" s="2088"/>
      <c r="P11" s="2091"/>
      <c r="T11" s="247"/>
      <c r="U11" s="247"/>
      <c r="V11" s="247"/>
    </row>
    <row r="12" spans="1:22" x14ac:dyDescent="0.25">
      <c r="A12" s="128" t="str">
        <f>'A4-FinPerf RE'!A12</f>
        <v>Rental of facilities and equipment</v>
      </c>
      <c r="B12" s="2107">
        <v>17439.6408333</v>
      </c>
      <c r="C12" s="2107">
        <v>17439.6408333</v>
      </c>
      <c r="D12" s="2107">
        <v>17439.6408333</v>
      </c>
      <c r="E12" s="2107">
        <v>17439.6408333</v>
      </c>
      <c r="F12" s="2107">
        <v>17439.6408333</v>
      </c>
      <c r="G12" s="2107">
        <v>17439.6408333</v>
      </c>
      <c r="H12" s="2107">
        <v>17439.6408333</v>
      </c>
      <c r="I12" s="2107">
        <v>17439.6408333</v>
      </c>
      <c r="J12" s="2107">
        <v>17439.6408333</v>
      </c>
      <c r="K12" s="2107">
        <v>17439.6408333</v>
      </c>
      <c r="L12" s="2107">
        <v>17439.6408333</v>
      </c>
      <c r="M12" s="82">
        <f t="shared" si="0"/>
        <v>17439.644833699975</v>
      </c>
      <c r="N12" s="2090">
        <v>209275.69400000002</v>
      </c>
      <c r="O12" s="2088">
        <v>221832.23564</v>
      </c>
      <c r="P12" s="2091">
        <v>235142.16977840001</v>
      </c>
      <c r="T12" s="247"/>
      <c r="U12" s="247"/>
      <c r="V12" s="247"/>
    </row>
    <row r="13" spans="1:22" x14ac:dyDescent="0.25">
      <c r="A13" s="128" t="str">
        <f>'A4-FinPerf RE'!A13</f>
        <v>Interest earned - external investments</v>
      </c>
      <c r="B13" s="2107">
        <v>103383.3725</v>
      </c>
      <c r="C13" s="2107">
        <v>103383.3725</v>
      </c>
      <c r="D13" s="2107">
        <v>103383.3725</v>
      </c>
      <c r="E13" s="2107">
        <v>103383.3725</v>
      </c>
      <c r="F13" s="2107">
        <v>103383.3725</v>
      </c>
      <c r="G13" s="2107">
        <v>103383.3725</v>
      </c>
      <c r="H13" s="2107">
        <v>103383.3725</v>
      </c>
      <c r="I13" s="2107">
        <v>103383.3725</v>
      </c>
      <c r="J13" s="2107">
        <v>103383.3725</v>
      </c>
      <c r="K13" s="2107">
        <v>103383.3725</v>
      </c>
      <c r="L13" s="2107">
        <v>103383.3725</v>
      </c>
      <c r="M13" s="82">
        <f t="shared" si="0"/>
        <v>103383.37049999996</v>
      </c>
      <c r="N13" s="2090">
        <v>1240600.4680000001</v>
      </c>
      <c r="O13" s="2088">
        <v>1315036.49608</v>
      </c>
      <c r="P13" s="2091">
        <v>1393938.6858448</v>
      </c>
      <c r="T13" s="247"/>
      <c r="U13" s="247"/>
      <c r="V13" s="247"/>
    </row>
    <row r="14" spans="1:22" x14ac:dyDescent="0.25">
      <c r="A14" s="128" t="str">
        <f>'A4-FinPerf RE'!A14</f>
        <v>Interest earned - outstanding debtors</v>
      </c>
      <c r="B14" s="2107">
        <v>197997.04666600001</v>
      </c>
      <c r="C14" s="2107">
        <v>197997.04666600001</v>
      </c>
      <c r="D14" s="2107">
        <v>197997.04666600001</v>
      </c>
      <c r="E14" s="2107">
        <v>197997.04666600001</v>
      </c>
      <c r="F14" s="2107">
        <v>197997.04666600001</v>
      </c>
      <c r="G14" s="2107">
        <v>197997.04666600001</v>
      </c>
      <c r="H14" s="2107">
        <v>197997.04666600001</v>
      </c>
      <c r="I14" s="2107">
        <v>197997.04666600001</v>
      </c>
      <c r="J14" s="2107">
        <v>197997.04666600001</v>
      </c>
      <c r="K14" s="2107">
        <v>197997.04666600001</v>
      </c>
      <c r="L14" s="2107">
        <v>197997.04666600001</v>
      </c>
      <c r="M14" s="82">
        <f t="shared" si="0"/>
        <v>197997.0466740001</v>
      </c>
      <c r="N14" s="2090">
        <v>2375964.56</v>
      </c>
      <c r="O14" s="2088">
        <v>2518522.4336000001</v>
      </c>
      <c r="P14" s="2091">
        <v>2669633.7796160001</v>
      </c>
      <c r="T14" s="247"/>
      <c r="U14" s="247"/>
      <c r="V14" s="247"/>
    </row>
    <row r="15" spans="1:22" x14ac:dyDescent="0.25">
      <c r="A15" s="128" t="str">
        <f>'A4-FinPerf RE'!A15</f>
        <v>Dividends received</v>
      </c>
      <c r="B15" s="2107"/>
      <c r="C15" s="2088"/>
      <c r="D15" s="2088"/>
      <c r="E15" s="2088"/>
      <c r="F15" s="2088"/>
      <c r="G15" s="2088"/>
      <c r="H15" s="2088"/>
      <c r="I15" s="2088"/>
      <c r="J15" s="2088"/>
      <c r="K15" s="2088"/>
      <c r="L15" s="2088"/>
      <c r="M15" s="82">
        <f t="shared" si="0"/>
        <v>0</v>
      </c>
      <c r="N15" s="2090"/>
      <c r="O15" s="2088"/>
      <c r="P15" s="2091"/>
      <c r="T15" s="247"/>
      <c r="U15" s="247"/>
      <c r="V15" s="247"/>
    </row>
    <row r="16" spans="1:22" x14ac:dyDescent="0.25">
      <c r="A16" s="128" t="str">
        <f>'A4-FinPerf RE'!A16</f>
        <v>Fines</v>
      </c>
      <c r="B16" s="2107">
        <v>60934.964166600002</v>
      </c>
      <c r="C16" s="2107">
        <v>60934.964166600002</v>
      </c>
      <c r="D16" s="2107">
        <v>60934.964166600002</v>
      </c>
      <c r="E16" s="2107">
        <v>60934.964166600002</v>
      </c>
      <c r="F16" s="2107">
        <v>60934.964166600002</v>
      </c>
      <c r="G16" s="2107">
        <v>60934.964166600002</v>
      </c>
      <c r="H16" s="2107">
        <v>60934.964166600002</v>
      </c>
      <c r="I16" s="2107">
        <v>60934.964166600002</v>
      </c>
      <c r="J16" s="2107">
        <v>60934.964166600002</v>
      </c>
      <c r="K16" s="2107">
        <v>60934.964166600002</v>
      </c>
      <c r="L16" s="2107">
        <v>60934.964166600002</v>
      </c>
      <c r="M16" s="82">
        <f t="shared" si="0"/>
        <v>60934.962167399935</v>
      </c>
      <c r="N16" s="2090">
        <v>731219.56800000009</v>
      </c>
      <c r="O16" s="2088">
        <v>775092.74208</v>
      </c>
      <c r="P16" s="2091">
        <v>821598.30660480005</v>
      </c>
      <c r="T16" s="247"/>
      <c r="U16" s="247"/>
      <c r="V16" s="247"/>
    </row>
    <row r="17" spans="1:23" x14ac:dyDescent="0.25">
      <c r="A17" s="128" t="str">
        <f>'A4-FinPerf RE'!A17</f>
        <v>Licences and permits</v>
      </c>
      <c r="B17" s="2107">
        <v>282980.91583299998</v>
      </c>
      <c r="C17" s="2107">
        <v>282980.91583299998</v>
      </c>
      <c r="D17" s="2107">
        <v>282980.91583299998</v>
      </c>
      <c r="E17" s="2107">
        <v>282980.91583299998</v>
      </c>
      <c r="F17" s="2107">
        <v>282980.91583299998</v>
      </c>
      <c r="G17" s="2107">
        <v>282980.91583299998</v>
      </c>
      <c r="H17" s="2107">
        <v>282980.91583299998</v>
      </c>
      <c r="I17" s="2107">
        <v>282980.91583299998</v>
      </c>
      <c r="J17" s="2107">
        <v>282980.91583299998</v>
      </c>
      <c r="K17" s="2107">
        <v>282980.91583299998</v>
      </c>
      <c r="L17" s="2107">
        <v>282980.91583299998</v>
      </c>
      <c r="M17" s="82">
        <f t="shared" si="0"/>
        <v>282980.91823699931</v>
      </c>
      <c r="N17" s="2090">
        <v>3395770.9923999999</v>
      </c>
      <c r="O17" s="2088">
        <v>3599517.2519439999</v>
      </c>
      <c r="P17" s="2091">
        <v>3815488.2870606403</v>
      </c>
      <c r="T17" s="247"/>
      <c r="U17" s="247"/>
      <c r="V17" s="247"/>
    </row>
    <row r="18" spans="1:23" x14ac:dyDescent="0.25">
      <c r="A18" s="128" t="str">
        <f>'A4-FinPerf RE'!A18</f>
        <v>Agency services</v>
      </c>
      <c r="B18" s="2107">
        <v>673204.94</v>
      </c>
      <c r="C18" s="2107">
        <v>673204.94</v>
      </c>
      <c r="D18" s="2107">
        <v>673204.94</v>
      </c>
      <c r="E18" s="2107">
        <v>673204.94</v>
      </c>
      <c r="F18" s="2107">
        <v>673204.94</v>
      </c>
      <c r="G18" s="2107">
        <v>673204.94</v>
      </c>
      <c r="H18" s="2107">
        <v>673204.94</v>
      </c>
      <c r="I18" s="2107">
        <v>673204.94</v>
      </c>
      <c r="J18" s="2107">
        <v>673204.94</v>
      </c>
      <c r="K18" s="2107">
        <v>673204.94</v>
      </c>
      <c r="L18" s="2107">
        <v>673204.94</v>
      </c>
      <c r="M18" s="82">
        <f t="shared" si="0"/>
        <v>673204.94000000227</v>
      </c>
      <c r="N18" s="2090">
        <v>8078459.2800000003</v>
      </c>
      <c r="O18" s="2088">
        <v>8563166.8367999997</v>
      </c>
      <c r="P18" s="2091">
        <v>9076956.8470079992</v>
      </c>
      <c r="T18" s="247"/>
      <c r="U18" s="247"/>
      <c r="V18" s="247"/>
    </row>
    <row r="19" spans="1:23" x14ac:dyDescent="0.25">
      <c r="A19" s="68" t="s">
        <v>543</v>
      </c>
      <c r="B19" s="2107">
        <v>10114500</v>
      </c>
      <c r="C19" s="2107">
        <v>10114500</v>
      </c>
      <c r="D19" s="2107">
        <v>10114500</v>
      </c>
      <c r="E19" s="2107">
        <v>10114500</v>
      </c>
      <c r="F19" s="2107">
        <v>10114500</v>
      </c>
      <c r="G19" s="2107">
        <v>10114500</v>
      </c>
      <c r="H19" s="2107">
        <v>10114500</v>
      </c>
      <c r="I19" s="2107">
        <v>10114500</v>
      </c>
      <c r="J19" s="2107">
        <v>10114500</v>
      </c>
      <c r="K19" s="2107">
        <v>10114500</v>
      </c>
      <c r="L19" s="2107">
        <v>10114500</v>
      </c>
      <c r="M19" s="82">
        <f t="shared" si="0"/>
        <v>10114500</v>
      </c>
      <c r="N19" s="2090">
        <v>121374000</v>
      </c>
      <c r="O19" s="2088">
        <v>129936000</v>
      </c>
      <c r="P19" s="2091">
        <v>136610000</v>
      </c>
      <c r="T19" s="247"/>
      <c r="U19" s="247"/>
      <c r="V19" s="247"/>
    </row>
    <row r="20" spans="1:23" x14ac:dyDescent="0.25">
      <c r="A20" s="128" t="str">
        <f>'A4-FinPerf RE'!A20</f>
        <v>Other revenue</v>
      </c>
      <c r="B20" s="2107">
        <v>262246.53416600003</v>
      </c>
      <c r="C20" s="2107">
        <v>262246.53416600003</v>
      </c>
      <c r="D20" s="2107">
        <v>262246.53416600003</v>
      </c>
      <c r="E20" s="2107">
        <v>262246.53416600003</v>
      </c>
      <c r="F20" s="2107">
        <v>262246.53416600003</v>
      </c>
      <c r="G20" s="2107">
        <v>262246.53416600003</v>
      </c>
      <c r="H20" s="2107">
        <v>262246.53416600003</v>
      </c>
      <c r="I20" s="2107">
        <v>262246.53416600003</v>
      </c>
      <c r="J20" s="2107">
        <v>262246.53416600003</v>
      </c>
      <c r="K20" s="2107">
        <v>262246.53416600003</v>
      </c>
      <c r="L20" s="2107">
        <v>262246.53416600003</v>
      </c>
      <c r="M20" s="82">
        <f t="shared" si="0"/>
        <v>2467344.7941740002</v>
      </c>
      <c r="N20" s="2090">
        <v>5352056.67</v>
      </c>
      <c r="O20" s="2088">
        <v>5673180.1600000001</v>
      </c>
      <c r="P20" s="2091">
        <v>6013571.4100000001</v>
      </c>
      <c r="T20" s="247"/>
      <c r="U20" s="247"/>
      <c r="V20" s="247"/>
    </row>
    <row r="21" spans="1:23" x14ac:dyDescent="0.25">
      <c r="A21" s="527" t="s">
        <v>1537</v>
      </c>
      <c r="B21" s="147">
        <f t="shared" ref="B21:P21" si="1">SUM(B5:B20)</f>
        <v>18970563.925820902</v>
      </c>
      <c r="C21" s="145">
        <f t="shared" si="1"/>
        <v>18970563.925820902</v>
      </c>
      <c r="D21" s="145">
        <f t="shared" si="1"/>
        <v>18970563.925820902</v>
      </c>
      <c r="E21" s="145">
        <f t="shared" si="1"/>
        <v>18970563.925820902</v>
      </c>
      <c r="F21" s="145">
        <f t="shared" si="1"/>
        <v>18970563.925820902</v>
      </c>
      <c r="G21" s="145">
        <f t="shared" si="1"/>
        <v>18970563.925820902</v>
      </c>
      <c r="H21" s="145">
        <f t="shared" si="1"/>
        <v>18970563.925820902</v>
      </c>
      <c r="I21" s="145">
        <f t="shared" si="1"/>
        <v>18970563.925820902</v>
      </c>
      <c r="J21" s="145">
        <f t="shared" si="1"/>
        <v>18970563.925820902</v>
      </c>
      <c r="K21" s="145">
        <f t="shared" si="1"/>
        <v>18970563.925820902</v>
      </c>
      <c r="L21" s="145">
        <f t="shared" si="1"/>
        <v>18970563.925820902</v>
      </c>
      <c r="M21" s="146">
        <f t="shared" si="1"/>
        <v>21175662.179290112</v>
      </c>
      <c r="N21" s="148">
        <f t="shared" si="1"/>
        <v>229851865.36332002</v>
      </c>
      <c r="O21" s="145">
        <f t="shared" si="1"/>
        <v>244922537.37491921</v>
      </c>
      <c r="P21" s="1370">
        <f t="shared" si="1"/>
        <v>258495730.05781436</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883</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542</v>
      </c>
      <c r="B24" s="2107">
        <v>2659750</v>
      </c>
      <c r="C24" s="2107">
        <v>2659750</v>
      </c>
      <c r="D24" s="2107">
        <v>2659750</v>
      </c>
      <c r="E24" s="2107">
        <v>2659750</v>
      </c>
      <c r="F24" s="2107">
        <v>2659750</v>
      </c>
      <c r="G24" s="2107">
        <v>2659750</v>
      </c>
      <c r="H24" s="2107">
        <v>2659750</v>
      </c>
      <c r="I24" s="2107">
        <v>2659750</v>
      </c>
      <c r="J24" s="2107">
        <v>2659750</v>
      </c>
      <c r="K24" s="2107">
        <v>2659750</v>
      </c>
      <c r="L24" s="2107">
        <v>2659750</v>
      </c>
      <c r="M24" s="142">
        <f t="shared" ref="M24:M32" si="2">N24-SUM(B24:L24)</f>
        <v>2659750</v>
      </c>
      <c r="N24" s="2090">
        <v>31917000</v>
      </c>
      <c r="O24" s="2088">
        <v>34179000</v>
      </c>
      <c r="P24" s="2091">
        <v>36987000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2107"/>
      <c r="C25" s="2088"/>
      <c r="D25" s="2088"/>
      <c r="E25" s="2088"/>
      <c r="F25" s="2088"/>
      <c r="G25" s="2088"/>
      <c r="H25" s="2088"/>
      <c r="I25" s="2088"/>
      <c r="J25" s="2088"/>
      <c r="K25" s="2088"/>
      <c r="L25" s="2088"/>
      <c r="M25" s="142">
        <f t="shared" si="2"/>
        <v>0</v>
      </c>
      <c r="N25" s="2090"/>
      <c r="O25" s="2088"/>
      <c r="P25" s="2091"/>
      <c r="Q25" s="247"/>
      <c r="R25" s="247"/>
      <c r="S25" s="247"/>
      <c r="T25" s="247"/>
      <c r="U25" s="247"/>
      <c r="V25" s="247"/>
      <c r="W25" s="247"/>
    </row>
    <row r="26" spans="1:23" ht="11.25" customHeight="1" x14ac:dyDescent="0.25">
      <c r="A26" s="132" t="str">
        <f>'A7-CFlow'!A21</f>
        <v>Proceeds on disposal of PPE</v>
      </c>
      <c r="B26" s="2107"/>
      <c r="C26" s="2088"/>
      <c r="D26" s="2088"/>
      <c r="E26" s="2088"/>
      <c r="F26" s="2088"/>
      <c r="G26" s="2088"/>
      <c r="H26" s="2088"/>
      <c r="I26" s="2088"/>
      <c r="J26" s="2088"/>
      <c r="K26" s="2088"/>
      <c r="L26" s="2088"/>
      <c r="M26" s="142">
        <f t="shared" si="2"/>
        <v>0</v>
      </c>
      <c r="N26" s="2090"/>
      <c r="O26" s="2088"/>
      <c r="P26" s="2091"/>
      <c r="Q26" s="247"/>
      <c r="R26" s="247"/>
      <c r="S26" s="247"/>
      <c r="T26" s="247"/>
      <c r="U26" s="247"/>
      <c r="V26" s="247"/>
      <c r="W26" s="247"/>
    </row>
    <row r="27" spans="1:23" ht="11.25" customHeight="1" x14ac:dyDescent="0.25">
      <c r="A27" s="132" t="str">
        <f>'A7-CFlow'!A31</f>
        <v>Short term loans</v>
      </c>
      <c r="B27" s="2107"/>
      <c r="C27" s="2088"/>
      <c r="D27" s="2088"/>
      <c r="E27" s="2088"/>
      <c r="F27" s="2088"/>
      <c r="G27" s="2088"/>
      <c r="H27" s="2088"/>
      <c r="I27" s="2088"/>
      <c r="J27" s="2088"/>
      <c r="K27" s="2088"/>
      <c r="L27" s="2088"/>
      <c r="M27" s="142">
        <f t="shared" si="2"/>
        <v>0</v>
      </c>
      <c r="N27" s="2090"/>
      <c r="O27" s="2088"/>
      <c r="P27" s="2091"/>
      <c r="Q27" s="247"/>
      <c r="R27" s="247"/>
      <c r="S27" s="247"/>
      <c r="T27" s="247"/>
      <c r="U27" s="247"/>
      <c r="V27" s="247"/>
      <c r="W27" s="247"/>
    </row>
    <row r="28" spans="1:23" ht="11.25" customHeight="1" x14ac:dyDescent="0.25">
      <c r="A28" s="132" t="str">
        <f>'A7-CFlow'!A32</f>
        <v>Borrowing long term/refinancing</v>
      </c>
      <c r="B28" s="2107"/>
      <c r="C28" s="2088"/>
      <c r="D28" s="2088"/>
      <c r="E28" s="2088"/>
      <c r="F28" s="2088"/>
      <c r="G28" s="2088"/>
      <c r="H28" s="2088"/>
      <c r="I28" s="2088"/>
      <c r="J28" s="2088"/>
      <c r="K28" s="2088"/>
      <c r="L28" s="2088"/>
      <c r="M28" s="142">
        <f t="shared" si="2"/>
        <v>0</v>
      </c>
      <c r="N28" s="2090"/>
      <c r="O28" s="2088"/>
      <c r="P28" s="2091"/>
      <c r="Q28" s="247"/>
      <c r="R28" s="247"/>
      <c r="S28" s="247"/>
      <c r="T28" s="247"/>
      <c r="U28" s="247"/>
      <c r="V28" s="247"/>
      <c r="W28" s="247"/>
    </row>
    <row r="29" spans="1:23" ht="11.25" customHeight="1" x14ac:dyDescent="0.25">
      <c r="A29" s="132" t="str">
        <f>'A7-CFlow'!A33</f>
        <v>Increase (decrease) in consumer deposits</v>
      </c>
      <c r="B29" s="2107"/>
      <c r="C29" s="2088"/>
      <c r="D29" s="2088"/>
      <c r="E29" s="2088"/>
      <c r="F29" s="2088"/>
      <c r="G29" s="2088"/>
      <c r="H29" s="2088"/>
      <c r="I29" s="2088"/>
      <c r="J29" s="2088"/>
      <c r="K29" s="2088"/>
      <c r="L29" s="2088"/>
      <c r="M29" s="142">
        <f t="shared" si="2"/>
        <v>0</v>
      </c>
      <c r="N29" s="2090"/>
      <c r="O29" s="2088"/>
      <c r="P29" s="2091"/>
      <c r="Q29" s="247"/>
      <c r="R29" s="247"/>
      <c r="S29" s="247"/>
      <c r="T29" s="247"/>
      <c r="U29" s="247"/>
      <c r="V29" s="247"/>
      <c r="W29" s="247"/>
    </row>
    <row r="30" spans="1:23" ht="11.25" customHeight="1" x14ac:dyDescent="0.25">
      <c r="A30" s="132" t="str">
        <f>'A7-CFlow'!A22</f>
        <v>Decrease (Increase) in non-current debtors</v>
      </c>
      <c r="B30" s="2107"/>
      <c r="C30" s="2088"/>
      <c r="D30" s="2088"/>
      <c r="E30" s="2088"/>
      <c r="F30" s="2088"/>
      <c r="G30" s="2088"/>
      <c r="H30" s="2088"/>
      <c r="I30" s="2088"/>
      <c r="J30" s="2088"/>
      <c r="K30" s="2088"/>
      <c r="L30" s="2088"/>
      <c r="M30" s="142">
        <f t="shared" si="2"/>
        <v>0</v>
      </c>
      <c r="N30" s="2090"/>
      <c r="O30" s="2088"/>
      <c r="P30" s="2091"/>
      <c r="Q30" s="247"/>
      <c r="R30" s="247"/>
      <c r="S30" s="247"/>
      <c r="T30" s="247"/>
      <c r="U30" s="247"/>
      <c r="V30" s="247"/>
      <c r="W30" s="247"/>
    </row>
    <row r="31" spans="1:23" ht="11.25" customHeight="1" x14ac:dyDescent="0.25">
      <c r="A31" s="132" t="str">
        <f>'A7-CFlow'!A23</f>
        <v>Decrease (increase) other non-current receivables</v>
      </c>
      <c r="B31" s="2107"/>
      <c r="C31" s="2088"/>
      <c r="D31" s="2088"/>
      <c r="E31" s="2088"/>
      <c r="F31" s="2088"/>
      <c r="G31" s="2088"/>
      <c r="H31" s="2088"/>
      <c r="I31" s="2088"/>
      <c r="J31" s="2088"/>
      <c r="K31" s="2088"/>
      <c r="L31" s="2088"/>
      <c r="M31" s="142">
        <f t="shared" si="2"/>
        <v>0</v>
      </c>
      <c r="N31" s="2090"/>
      <c r="O31" s="2088"/>
      <c r="P31" s="2091"/>
      <c r="Q31" s="247"/>
      <c r="R31" s="247"/>
      <c r="S31" s="247"/>
      <c r="T31" s="247"/>
      <c r="U31" s="247"/>
      <c r="V31" s="247"/>
      <c r="W31" s="247"/>
    </row>
    <row r="32" spans="1:23" ht="11.25" customHeight="1" x14ac:dyDescent="0.25">
      <c r="A32" s="132" t="str">
        <f>'A7-CFlow'!A24</f>
        <v>Decrease (increase) in non-current investments</v>
      </c>
      <c r="B32" s="2107"/>
      <c r="C32" s="2088"/>
      <c r="D32" s="2088"/>
      <c r="E32" s="2088"/>
      <c r="F32" s="2088"/>
      <c r="G32" s="2088"/>
      <c r="H32" s="2088"/>
      <c r="I32" s="2088"/>
      <c r="J32" s="2088"/>
      <c r="K32" s="2088"/>
      <c r="L32" s="2088"/>
      <c r="M32" s="142">
        <f t="shared" si="2"/>
        <v>0</v>
      </c>
      <c r="N32" s="2090"/>
      <c r="O32" s="2088"/>
      <c r="P32" s="2091"/>
      <c r="Q32" s="247"/>
      <c r="R32" s="247"/>
      <c r="S32" s="247"/>
      <c r="T32" s="247"/>
      <c r="U32" s="247"/>
      <c r="V32" s="247"/>
      <c r="W32" s="247"/>
    </row>
    <row r="33" spans="1:23" ht="11.25" customHeight="1" x14ac:dyDescent="0.25">
      <c r="A33" s="684" t="s">
        <v>672</v>
      </c>
      <c r="B33" s="688">
        <f t="shared" ref="B33:P33" si="3">SUM(B21:B32)</f>
        <v>21630313.925820902</v>
      </c>
      <c r="C33" s="686">
        <f t="shared" si="3"/>
        <v>21630313.925820902</v>
      </c>
      <c r="D33" s="686">
        <f t="shared" si="3"/>
        <v>21630313.925820902</v>
      </c>
      <c r="E33" s="686">
        <f t="shared" si="3"/>
        <v>21630313.925820902</v>
      </c>
      <c r="F33" s="686">
        <f t="shared" si="3"/>
        <v>21630313.925820902</v>
      </c>
      <c r="G33" s="686">
        <f t="shared" si="3"/>
        <v>21630313.925820902</v>
      </c>
      <c r="H33" s="686">
        <f t="shared" si="3"/>
        <v>21630313.925820902</v>
      </c>
      <c r="I33" s="686">
        <f t="shared" si="3"/>
        <v>21630313.925820902</v>
      </c>
      <c r="J33" s="686">
        <f t="shared" si="3"/>
        <v>21630313.925820902</v>
      </c>
      <c r="K33" s="686">
        <f t="shared" si="3"/>
        <v>21630313.925820902</v>
      </c>
      <c r="L33" s="686">
        <f t="shared" si="3"/>
        <v>21630313.925820902</v>
      </c>
      <c r="M33" s="687">
        <f t="shared" si="3"/>
        <v>23835412.179290112</v>
      </c>
      <c r="N33" s="967">
        <f t="shared" si="3"/>
        <v>261768865.36332002</v>
      </c>
      <c r="O33" s="686">
        <f t="shared" si="3"/>
        <v>279101537.37491918</v>
      </c>
      <c r="P33" s="2047">
        <f t="shared" si="3"/>
        <v>295482730.05781436</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1538</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2107">
        <v>5892479.2350000003</v>
      </c>
      <c r="C36" s="2107">
        <v>5892479.2350000003</v>
      </c>
      <c r="D36" s="2107">
        <v>5892479.2350000003</v>
      </c>
      <c r="E36" s="2107">
        <v>5892479.2350000003</v>
      </c>
      <c r="F36" s="2107">
        <v>5892479.2350000003</v>
      </c>
      <c r="G36" s="2107">
        <v>5892479.2350000003</v>
      </c>
      <c r="H36" s="2107">
        <v>5892479.2350000003</v>
      </c>
      <c r="I36" s="2107">
        <v>5892479.2350000003</v>
      </c>
      <c r="J36" s="2107">
        <v>5892479.2350000003</v>
      </c>
      <c r="K36" s="2107">
        <v>5892479.2350000003</v>
      </c>
      <c r="L36" s="2107">
        <v>5892479.2350000003</v>
      </c>
      <c r="M36" s="142">
        <f t="shared" ref="M36:M45" si="4">N36-SUM(B36:L36)</f>
        <v>5892479.234999992</v>
      </c>
      <c r="N36" s="2090">
        <v>70709750.819999993</v>
      </c>
      <c r="O36" s="2088">
        <v>74952335.86999999</v>
      </c>
      <c r="P36" s="2091">
        <v>79449476.019999996</v>
      </c>
      <c r="Q36" s="247"/>
      <c r="R36" s="247"/>
      <c r="S36" s="247"/>
      <c r="T36" s="247"/>
      <c r="U36" s="247"/>
      <c r="V36" s="247"/>
      <c r="W36" s="247"/>
    </row>
    <row r="37" spans="1:23" x14ac:dyDescent="0.25">
      <c r="A37" s="132" t="s">
        <v>505</v>
      </c>
      <c r="B37" s="2107">
        <v>971929.001666</v>
      </c>
      <c r="C37" s="2107">
        <v>971929.001666</v>
      </c>
      <c r="D37" s="2107">
        <v>971929.001666</v>
      </c>
      <c r="E37" s="2107">
        <v>971929.001666</v>
      </c>
      <c r="F37" s="2107">
        <v>971929.001666</v>
      </c>
      <c r="G37" s="2107">
        <v>971929.001666</v>
      </c>
      <c r="H37" s="2107">
        <v>971929.001666</v>
      </c>
      <c r="I37" s="2107">
        <v>971929.001666</v>
      </c>
      <c r="J37" s="2107">
        <v>971929.001666</v>
      </c>
      <c r="K37" s="2107">
        <v>971929.001666</v>
      </c>
      <c r="L37" s="2107">
        <v>971929.001666</v>
      </c>
      <c r="M37" s="142">
        <f t="shared" si="4"/>
        <v>971929.00167400017</v>
      </c>
      <c r="N37" s="2090">
        <v>11663148.02</v>
      </c>
      <c r="O37" s="2088">
        <v>12362936.9</v>
      </c>
      <c r="P37" s="2091">
        <v>13104713.119999999</v>
      </c>
      <c r="Q37" s="247"/>
      <c r="R37" s="247"/>
      <c r="S37" s="247"/>
      <c r="T37" s="247"/>
      <c r="U37" s="247"/>
      <c r="V37" s="247"/>
      <c r="W37" s="247"/>
    </row>
    <row r="38" spans="1:23" x14ac:dyDescent="0.25">
      <c r="A38" s="132" t="s">
        <v>1488</v>
      </c>
      <c r="B38" s="2107">
        <v>66498.393330000006</v>
      </c>
      <c r="C38" s="2107">
        <v>66498.393330000006</v>
      </c>
      <c r="D38" s="2107">
        <v>66498.393330000006</v>
      </c>
      <c r="E38" s="2107">
        <v>66498.393330000006</v>
      </c>
      <c r="F38" s="2107">
        <v>66498.393330000006</v>
      </c>
      <c r="G38" s="2107">
        <v>66498.393330000006</v>
      </c>
      <c r="H38" s="2107">
        <v>66498.393330000006</v>
      </c>
      <c r="I38" s="2107">
        <v>66498.393330000006</v>
      </c>
      <c r="J38" s="2107">
        <v>66498.393330000006</v>
      </c>
      <c r="K38" s="2107">
        <v>66498.393330000006</v>
      </c>
      <c r="L38" s="2107">
        <v>66498.393330000006</v>
      </c>
      <c r="M38" s="142">
        <f t="shared" si="4"/>
        <v>66498.393369999947</v>
      </c>
      <c r="N38" s="2090">
        <v>797980.72</v>
      </c>
      <c r="O38" s="2088">
        <v>845859.56319999998</v>
      </c>
      <c r="P38" s="2091">
        <v>896611.13699199993</v>
      </c>
      <c r="Q38" s="247"/>
      <c r="R38" s="247"/>
      <c r="S38" s="247"/>
      <c r="T38" s="247"/>
      <c r="U38" s="247"/>
      <c r="V38" s="247"/>
      <c r="W38" s="247"/>
    </row>
    <row r="39" spans="1:23" x14ac:dyDescent="0.25">
      <c r="A39" s="132" t="s">
        <v>671</v>
      </c>
      <c r="B39" s="2107">
        <v>2481642.4672500002</v>
      </c>
      <c r="C39" s="2107">
        <v>2481642.4672500002</v>
      </c>
      <c r="D39" s="2107">
        <v>2481642.4672500002</v>
      </c>
      <c r="E39" s="2107">
        <v>2481642.4672500002</v>
      </c>
      <c r="F39" s="2107">
        <v>2481642.4672500002</v>
      </c>
      <c r="G39" s="2107">
        <v>2481642.4672500002</v>
      </c>
      <c r="H39" s="2107">
        <v>2481642.4672500002</v>
      </c>
      <c r="I39" s="2107">
        <v>2481642.4672500002</v>
      </c>
      <c r="J39" s="2107">
        <v>2481642.4672500002</v>
      </c>
      <c r="K39" s="2107">
        <v>2481642.4672500002</v>
      </c>
      <c r="L39" s="2107">
        <v>2481642.4672500002</v>
      </c>
      <c r="M39" s="142">
        <f t="shared" si="4"/>
        <v>2481642.4674099982</v>
      </c>
      <c r="N39" s="2090">
        <v>29779709.607160002</v>
      </c>
      <c r="O39" s="2088">
        <v>31566492.183589604</v>
      </c>
      <c r="P39" s="2091">
        <v>33460481.714604981</v>
      </c>
      <c r="Q39" s="247"/>
      <c r="R39" s="247"/>
      <c r="S39" s="247"/>
      <c r="T39" s="247"/>
      <c r="U39" s="247"/>
      <c r="V39" s="247"/>
      <c r="W39" s="247"/>
    </row>
    <row r="40" spans="1:23" x14ac:dyDescent="0.25">
      <c r="A40" s="132" t="s">
        <v>674</v>
      </c>
      <c r="B40" s="2107"/>
      <c r="C40" s="2088"/>
      <c r="D40" s="2088"/>
      <c r="E40" s="2088"/>
      <c r="F40" s="2088"/>
      <c r="G40" s="2088"/>
      <c r="H40" s="2088"/>
      <c r="I40" s="2088"/>
      <c r="J40" s="2088"/>
      <c r="K40" s="2088"/>
      <c r="L40" s="2088"/>
      <c r="M40" s="142">
        <f>N40-SUM(B40:L40)</f>
        <v>0</v>
      </c>
      <c r="N40" s="2090"/>
      <c r="O40" s="2088"/>
      <c r="P40" s="2091"/>
      <c r="Q40" s="707"/>
      <c r="R40" s="247"/>
      <c r="S40" s="247"/>
      <c r="T40" s="247"/>
      <c r="U40" s="247"/>
      <c r="V40" s="247"/>
      <c r="W40" s="247"/>
    </row>
    <row r="41" spans="1:23" x14ac:dyDescent="0.25">
      <c r="A41" s="132" t="s">
        <v>1460</v>
      </c>
      <c r="B41" s="2107">
        <v>1091120.2348499999</v>
      </c>
      <c r="C41" s="2107">
        <v>1091120.2348499999</v>
      </c>
      <c r="D41" s="2107">
        <v>1091120.2348499999</v>
      </c>
      <c r="E41" s="2107">
        <v>1091120.2348499999</v>
      </c>
      <c r="F41" s="2107">
        <v>1091120.2348499999</v>
      </c>
      <c r="G41" s="2107">
        <v>1091120.2348499999</v>
      </c>
      <c r="H41" s="2107">
        <v>1091120.2348499999</v>
      </c>
      <c r="I41" s="2107">
        <v>1091120.2348499999</v>
      </c>
      <c r="J41" s="2107">
        <v>1091120.2348499999</v>
      </c>
      <c r="K41" s="2107">
        <v>1091120.2348499999</v>
      </c>
      <c r="L41" s="2107">
        <v>1091120.2348499999</v>
      </c>
      <c r="M41" s="142">
        <f t="shared" si="4"/>
        <v>1091120.2348499987</v>
      </c>
      <c r="N41" s="2090">
        <v>13093442.8182</v>
      </c>
      <c r="O41" s="2088">
        <v>13879049.387292001</v>
      </c>
      <c r="P41" s="2091">
        <v>14711792.35052952</v>
      </c>
      <c r="Q41" s="707"/>
      <c r="R41" s="247"/>
      <c r="S41" s="247"/>
      <c r="T41" s="247"/>
      <c r="U41" s="247"/>
      <c r="V41" s="247"/>
      <c r="W41" s="247"/>
    </row>
    <row r="42" spans="1:23" x14ac:dyDescent="0.25">
      <c r="A42" s="132" t="s">
        <v>455</v>
      </c>
      <c r="B42" s="2107"/>
      <c r="C42" s="2088"/>
      <c r="D42" s="2088"/>
      <c r="E42" s="2088"/>
      <c r="F42" s="2088"/>
      <c r="G42" s="2088"/>
      <c r="H42" s="2088"/>
      <c r="I42" s="2088"/>
      <c r="J42" s="2088"/>
      <c r="K42" s="2088"/>
      <c r="L42" s="2088"/>
      <c r="M42" s="142">
        <f t="shared" si="4"/>
        <v>0</v>
      </c>
      <c r="N42" s="2090"/>
      <c r="O42" s="2088"/>
      <c r="P42" s="2091"/>
      <c r="Q42" s="247"/>
      <c r="R42" s="247"/>
      <c r="S42" s="247"/>
      <c r="T42" s="247"/>
      <c r="U42" s="247"/>
      <c r="V42" s="247"/>
      <c r="W42" s="247"/>
    </row>
    <row r="43" spans="1:23" x14ac:dyDescent="0.25">
      <c r="A43" s="132" t="s">
        <v>1958</v>
      </c>
      <c r="B43" s="2107"/>
      <c r="C43" s="2088"/>
      <c r="D43" s="2088"/>
      <c r="E43" s="2088"/>
      <c r="F43" s="2088"/>
      <c r="G43" s="2088"/>
      <c r="H43" s="2088"/>
      <c r="I43" s="2088"/>
      <c r="J43" s="2088"/>
      <c r="K43" s="2088"/>
      <c r="L43" s="2088"/>
      <c r="M43" s="142">
        <f t="shared" si="4"/>
        <v>0</v>
      </c>
      <c r="N43" s="2090"/>
      <c r="O43" s="2088"/>
      <c r="P43" s="2091"/>
      <c r="Q43" s="247"/>
      <c r="R43" s="247"/>
      <c r="S43" s="247"/>
      <c r="T43" s="247"/>
      <c r="U43" s="247"/>
      <c r="V43" s="247"/>
      <c r="W43" s="247"/>
    </row>
    <row r="44" spans="1:23" x14ac:dyDescent="0.25">
      <c r="A44" s="132" t="s">
        <v>1959</v>
      </c>
      <c r="B44" s="2107">
        <v>229157.185</v>
      </c>
      <c r="C44" s="2107">
        <v>229157.185</v>
      </c>
      <c r="D44" s="2107">
        <v>229157.185</v>
      </c>
      <c r="E44" s="2107">
        <v>229157.185</v>
      </c>
      <c r="F44" s="2107">
        <v>229157.185</v>
      </c>
      <c r="G44" s="2107">
        <v>229157.185</v>
      </c>
      <c r="H44" s="2107">
        <v>229157.185</v>
      </c>
      <c r="I44" s="2107">
        <v>229157.185</v>
      </c>
      <c r="J44" s="2107">
        <v>229157.185</v>
      </c>
      <c r="K44" s="2107">
        <v>229157.185</v>
      </c>
      <c r="L44" s="2107">
        <v>229157.185</v>
      </c>
      <c r="M44" s="142">
        <f>N44-SUM(B44:L44)</f>
        <v>229157.18500000006</v>
      </c>
      <c r="N44" s="2090">
        <v>2749886.22</v>
      </c>
      <c r="O44" s="2088">
        <v>2914879.86</v>
      </c>
      <c r="P44" s="2091">
        <v>3089772.66</v>
      </c>
      <c r="Q44" s="247"/>
      <c r="R44" s="247"/>
      <c r="S44" s="247"/>
      <c r="T44" s="247"/>
      <c r="U44" s="247"/>
      <c r="V44" s="247"/>
      <c r="W44" s="247"/>
    </row>
    <row r="45" spans="1:23" x14ac:dyDescent="0.25">
      <c r="A45" s="132" t="s">
        <v>910</v>
      </c>
      <c r="B45" s="2107">
        <v>5466816.8788299998</v>
      </c>
      <c r="C45" s="2107">
        <v>5466816.8788299998</v>
      </c>
      <c r="D45" s="2107">
        <v>5466816.8788299998</v>
      </c>
      <c r="E45" s="2107">
        <v>5466816.8788299998</v>
      </c>
      <c r="F45" s="2107">
        <v>5466816.8788299998</v>
      </c>
      <c r="G45" s="2107">
        <v>5466816.8788299998</v>
      </c>
      <c r="H45" s="2107">
        <v>5466816.8788299998</v>
      </c>
      <c r="I45" s="2107">
        <v>5466816.8788299998</v>
      </c>
      <c r="J45" s="2107">
        <v>5466816.8788299998</v>
      </c>
      <c r="K45" s="2107">
        <v>5466816.8788299998</v>
      </c>
      <c r="L45" s="2107">
        <v>5466816.8788299998</v>
      </c>
      <c r="M45" s="142">
        <f t="shared" si="4"/>
        <v>5466816.8778700009</v>
      </c>
      <c r="N45" s="2090">
        <v>65601802.545000002</v>
      </c>
      <c r="O45" s="2088">
        <v>68423830.240400001</v>
      </c>
      <c r="P45" s="2091">
        <v>72655550.035099998</v>
      </c>
      <c r="Q45" s="247"/>
      <c r="R45" s="247"/>
      <c r="S45" s="247"/>
      <c r="T45" s="247"/>
      <c r="U45" s="247"/>
      <c r="V45" s="247"/>
      <c r="W45" s="247"/>
    </row>
    <row r="46" spans="1:23" x14ac:dyDescent="0.25">
      <c r="A46" s="527" t="s">
        <v>1538</v>
      </c>
      <c r="B46" s="147">
        <f t="shared" ref="B46:O46" si="5">SUM(B36:B45)</f>
        <v>16199643.395926002</v>
      </c>
      <c r="C46" s="145">
        <f t="shared" si="5"/>
        <v>16199643.395926002</v>
      </c>
      <c r="D46" s="145">
        <f t="shared" si="5"/>
        <v>16199643.395926002</v>
      </c>
      <c r="E46" s="145">
        <f t="shared" si="5"/>
        <v>16199643.395926002</v>
      </c>
      <c r="F46" s="145">
        <f t="shared" si="5"/>
        <v>16199643.395926002</v>
      </c>
      <c r="G46" s="145">
        <f t="shared" si="5"/>
        <v>16199643.395926002</v>
      </c>
      <c r="H46" s="145">
        <f t="shared" si="5"/>
        <v>16199643.395926002</v>
      </c>
      <c r="I46" s="145">
        <f t="shared" si="5"/>
        <v>16199643.395926002</v>
      </c>
      <c r="J46" s="145">
        <f t="shared" si="5"/>
        <v>16199643.395926002</v>
      </c>
      <c r="K46" s="145">
        <f t="shared" si="5"/>
        <v>16199643.395926002</v>
      </c>
      <c r="L46" s="145">
        <f t="shared" si="5"/>
        <v>16199643.395926002</v>
      </c>
      <c r="M46" s="146">
        <f t="shared" si="5"/>
        <v>16199643.395173989</v>
      </c>
      <c r="N46" s="148">
        <f>SUM(N36:N45)</f>
        <v>194395720.75036001</v>
      </c>
      <c r="O46" s="145">
        <f t="shared" si="5"/>
        <v>204945384.00448161</v>
      </c>
      <c r="P46" s="1370">
        <f>SUM(P36:P45)</f>
        <v>217368397.0372265</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2107">
        <v>5458996.4583299998</v>
      </c>
      <c r="C49" s="2107">
        <v>5458996.4583299998</v>
      </c>
      <c r="D49" s="2107">
        <v>5458996.4583299998</v>
      </c>
      <c r="E49" s="2107">
        <v>5458996.4583299998</v>
      </c>
      <c r="F49" s="2107">
        <v>5458996.4583299998</v>
      </c>
      <c r="G49" s="2107">
        <v>5458996.4583299998</v>
      </c>
      <c r="H49" s="2107">
        <v>5458996.4583299998</v>
      </c>
      <c r="I49" s="2107">
        <v>5458996.4583299998</v>
      </c>
      <c r="J49" s="2107">
        <v>5458996.4583299998</v>
      </c>
      <c r="K49" s="2107">
        <v>5458996.4583299998</v>
      </c>
      <c r="L49" s="2107">
        <v>5458996.4583299998</v>
      </c>
      <c r="M49" s="142">
        <f>N49-SUM(B49:L49)</f>
        <v>5458996.458370015</v>
      </c>
      <c r="N49" s="2090">
        <v>65507957.5</v>
      </c>
      <c r="O49" s="2088">
        <v>68590434.950000003</v>
      </c>
      <c r="P49" s="2091">
        <v>72705861.049999997</v>
      </c>
      <c r="Q49" s="247"/>
      <c r="R49" s="247"/>
      <c r="S49" s="247"/>
      <c r="T49" s="247"/>
      <c r="U49" s="247"/>
      <c r="V49" s="247"/>
      <c r="W49" s="247"/>
    </row>
    <row r="50" spans="1:23" x14ac:dyDescent="0.25">
      <c r="A50" s="132" t="str">
        <f>'A7-CFlow'!A35</f>
        <v>Repayment of borrowing</v>
      </c>
      <c r="B50" s="2107">
        <v>155432.26332999999</v>
      </c>
      <c r="C50" s="2107">
        <v>155432.26332999999</v>
      </c>
      <c r="D50" s="2107">
        <v>155432.26332999999</v>
      </c>
      <c r="E50" s="2107">
        <v>155432.26332999999</v>
      </c>
      <c r="F50" s="2107">
        <v>155432.26332999999</v>
      </c>
      <c r="G50" s="2107">
        <v>155432.26332999999</v>
      </c>
      <c r="H50" s="2107">
        <v>155432.26332999999</v>
      </c>
      <c r="I50" s="2107">
        <v>155432.26332999999</v>
      </c>
      <c r="J50" s="2107">
        <v>155432.26332999999</v>
      </c>
      <c r="K50" s="2107">
        <v>155432.26332999999</v>
      </c>
      <c r="L50" s="2107">
        <v>155432.26332999999</v>
      </c>
      <c r="M50" s="142">
        <f>N50-SUM(B50:L50)</f>
        <v>155432.26337000006</v>
      </c>
      <c r="N50" s="2090">
        <v>1865187.16</v>
      </c>
      <c r="O50" s="2088">
        <v>1977098.3895999999</v>
      </c>
      <c r="P50" s="2091">
        <v>2095724.2929759999</v>
      </c>
      <c r="Q50" s="247"/>
      <c r="R50" s="247"/>
      <c r="S50" s="247"/>
      <c r="T50" s="247"/>
      <c r="U50" s="247"/>
      <c r="V50" s="247"/>
      <c r="W50" s="247"/>
    </row>
    <row r="51" spans="1:23" x14ac:dyDescent="0.25">
      <c r="A51" s="132" t="str">
        <f>LEFT(A48,25)</f>
        <v>Other Cash Flows/Payments</v>
      </c>
      <c r="B51" s="2107"/>
      <c r="C51" s="2088"/>
      <c r="D51" s="2088"/>
      <c r="E51" s="2088"/>
      <c r="F51" s="2088"/>
      <c r="G51" s="2088"/>
      <c r="H51" s="2088"/>
      <c r="I51" s="2088"/>
      <c r="J51" s="2088"/>
      <c r="K51" s="2088"/>
      <c r="L51" s="2088"/>
      <c r="M51" s="142">
        <f>N51-SUM(B51:L51)</f>
        <v>0</v>
      </c>
      <c r="N51" s="2090"/>
      <c r="O51" s="2088"/>
      <c r="P51" s="2091"/>
      <c r="Q51" s="247"/>
      <c r="R51" s="247"/>
      <c r="S51" s="247"/>
      <c r="T51" s="247"/>
      <c r="U51" s="247"/>
      <c r="V51" s="247"/>
      <c r="W51" s="247"/>
    </row>
    <row r="52" spans="1:23" x14ac:dyDescent="0.25">
      <c r="A52" s="684" t="s">
        <v>673</v>
      </c>
      <c r="B52" s="688">
        <f>SUM(B46:B51)</f>
        <v>21814072.117586005</v>
      </c>
      <c r="C52" s="686">
        <f t="shared" ref="C52:P52" si="6">SUM(C46:C51)</f>
        <v>21814072.117586005</v>
      </c>
      <c r="D52" s="686">
        <f t="shared" si="6"/>
        <v>21814072.117586005</v>
      </c>
      <c r="E52" s="686">
        <f t="shared" si="6"/>
        <v>21814072.117586005</v>
      </c>
      <c r="F52" s="686">
        <f t="shared" si="6"/>
        <v>21814072.117586005</v>
      </c>
      <c r="G52" s="686">
        <f t="shared" si="6"/>
        <v>21814072.117586005</v>
      </c>
      <c r="H52" s="686">
        <f t="shared" si="6"/>
        <v>21814072.117586005</v>
      </c>
      <c r="I52" s="686">
        <f t="shared" si="6"/>
        <v>21814072.117586005</v>
      </c>
      <c r="J52" s="686">
        <f t="shared" si="6"/>
        <v>21814072.117586005</v>
      </c>
      <c r="K52" s="686">
        <f t="shared" si="6"/>
        <v>21814072.117586005</v>
      </c>
      <c r="L52" s="686">
        <f t="shared" si="6"/>
        <v>21814072.117586005</v>
      </c>
      <c r="M52" s="687">
        <f t="shared" si="6"/>
        <v>21814072.116914004</v>
      </c>
      <c r="N52" s="967">
        <f t="shared" si="6"/>
        <v>261768865.41036001</v>
      </c>
      <c r="O52" s="686">
        <f t="shared" si="6"/>
        <v>275512917.34408158</v>
      </c>
      <c r="P52" s="2047">
        <f t="shared" si="6"/>
        <v>292169982.38020253</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-183758.19176510349</v>
      </c>
      <c r="C54" s="759">
        <f t="shared" si="7"/>
        <v>-183758.19176510349</v>
      </c>
      <c r="D54" s="759">
        <f t="shared" si="7"/>
        <v>-183758.19176510349</v>
      </c>
      <c r="E54" s="759">
        <f t="shared" si="7"/>
        <v>-183758.19176510349</v>
      </c>
      <c r="F54" s="759">
        <f t="shared" si="7"/>
        <v>-183758.19176510349</v>
      </c>
      <c r="G54" s="759">
        <f t="shared" si="7"/>
        <v>-183758.19176510349</v>
      </c>
      <c r="H54" s="759">
        <f t="shared" si="7"/>
        <v>-183758.19176510349</v>
      </c>
      <c r="I54" s="759">
        <f t="shared" si="7"/>
        <v>-183758.19176510349</v>
      </c>
      <c r="J54" s="759">
        <f t="shared" si="7"/>
        <v>-183758.19176510349</v>
      </c>
      <c r="K54" s="759">
        <f t="shared" si="7"/>
        <v>-183758.19176510349</v>
      </c>
      <c r="L54" s="759">
        <f t="shared" si="7"/>
        <v>-183758.19176510349</v>
      </c>
      <c r="M54" s="760">
        <f t="shared" si="7"/>
        <v>2021340.062376108</v>
      </c>
      <c r="N54" s="2048">
        <f t="shared" si="7"/>
        <v>-4.7039985656738281E-2</v>
      </c>
      <c r="O54" s="759">
        <f t="shared" si="7"/>
        <v>3588620.0308375955</v>
      </c>
      <c r="P54" s="2049">
        <f t="shared" si="7"/>
        <v>3312747.6776118279</v>
      </c>
      <c r="Q54" s="761"/>
      <c r="R54" s="762"/>
      <c r="S54" s="763"/>
      <c r="T54" s="764"/>
      <c r="U54" s="764"/>
      <c r="V54" s="764"/>
      <c r="W54" s="764"/>
    </row>
    <row r="55" spans="1:23" ht="10.5" customHeight="1" x14ac:dyDescent="0.25">
      <c r="A55" s="690" t="s">
        <v>916</v>
      </c>
      <c r="B55" s="2464"/>
      <c r="C55" s="243">
        <f>B56</f>
        <v>-183758.19176510349</v>
      </c>
      <c r="D55" s="243">
        <f t="shared" ref="D55:M55" si="8">C56</f>
        <v>-367516.38353020698</v>
      </c>
      <c r="E55" s="243">
        <f t="shared" si="8"/>
        <v>-551274.57529531047</v>
      </c>
      <c r="F55" s="243">
        <f t="shared" si="8"/>
        <v>-735032.76706041396</v>
      </c>
      <c r="G55" s="243">
        <f t="shared" si="8"/>
        <v>-918790.95882551745</v>
      </c>
      <c r="H55" s="243">
        <f t="shared" si="8"/>
        <v>-1102549.1505906209</v>
      </c>
      <c r="I55" s="243">
        <f t="shared" si="8"/>
        <v>-1286307.3423557244</v>
      </c>
      <c r="J55" s="243">
        <f t="shared" si="8"/>
        <v>-1470065.5341208279</v>
      </c>
      <c r="K55" s="243">
        <f t="shared" si="8"/>
        <v>-1653823.7258859314</v>
      </c>
      <c r="L55" s="243">
        <f t="shared" si="8"/>
        <v>-1837581.9176510349</v>
      </c>
      <c r="M55" s="244">
        <f t="shared" si="8"/>
        <v>-2021340.1094161384</v>
      </c>
      <c r="N55" s="1173">
        <f>B55</f>
        <v>0</v>
      </c>
      <c r="O55" s="243">
        <f>N56</f>
        <v>-4.7039985656738281E-2</v>
      </c>
      <c r="P55" s="1175">
        <f>O56</f>
        <v>3588619.9837976098</v>
      </c>
      <c r="Q55" s="247"/>
      <c r="R55" s="247"/>
      <c r="S55" s="247"/>
      <c r="T55" s="247"/>
      <c r="U55" s="247"/>
      <c r="V55" s="247"/>
      <c r="W55" s="247"/>
    </row>
    <row r="56" spans="1:23" ht="10.5" customHeight="1" x14ac:dyDescent="0.25">
      <c r="A56" s="765" t="s">
        <v>915</v>
      </c>
      <c r="B56" s="766">
        <f>B55+B54</f>
        <v>-183758.19176510349</v>
      </c>
      <c r="C56" s="767">
        <f>C55+C54</f>
        <v>-367516.38353020698</v>
      </c>
      <c r="D56" s="767">
        <f t="shared" ref="D56:P56" si="9">D55+D54</f>
        <v>-551274.57529531047</v>
      </c>
      <c r="E56" s="767">
        <f t="shared" si="9"/>
        <v>-735032.76706041396</v>
      </c>
      <c r="F56" s="767">
        <f t="shared" si="9"/>
        <v>-918790.95882551745</v>
      </c>
      <c r="G56" s="767">
        <f t="shared" si="9"/>
        <v>-1102549.1505906209</v>
      </c>
      <c r="H56" s="767">
        <f t="shared" si="9"/>
        <v>-1286307.3423557244</v>
      </c>
      <c r="I56" s="767">
        <f t="shared" si="9"/>
        <v>-1470065.5341208279</v>
      </c>
      <c r="J56" s="767">
        <f t="shared" si="9"/>
        <v>-1653823.7258859314</v>
      </c>
      <c r="K56" s="767">
        <f t="shared" si="9"/>
        <v>-1837581.9176510349</v>
      </c>
      <c r="L56" s="767">
        <f t="shared" si="9"/>
        <v>-2021340.1094161384</v>
      </c>
      <c r="M56" s="768">
        <f t="shared" si="9"/>
        <v>-4.7040030360221863E-2</v>
      </c>
      <c r="N56" s="2050">
        <f t="shared" si="9"/>
        <v>-4.7039985656738281E-2</v>
      </c>
      <c r="O56" s="767">
        <f t="shared" si="9"/>
        <v>3588619.9837976098</v>
      </c>
      <c r="P56" s="2051">
        <f t="shared" si="9"/>
        <v>6901367.6614094377</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73" t="s">
        <v>2187</v>
      </c>
      <c r="B58" s="2673"/>
      <c r="C58" s="2673"/>
      <c r="D58" s="2673"/>
      <c r="E58" s="2673"/>
      <c r="F58" s="2673"/>
      <c r="G58" s="2673"/>
      <c r="H58" s="2673"/>
      <c r="I58" s="2673"/>
      <c r="J58" s="2673"/>
      <c r="K58" s="2673"/>
      <c r="L58" s="2673"/>
      <c r="M58" s="2673"/>
      <c r="N58" s="2673"/>
      <c r="O58" s="2673"/>
      <c r="P58" s="2673"/>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16199643.395926002</v>
      </c>
      <c r="F63" s="707">
        <f t="shared" si="10"/>
        <v>16199643.395926002</v>
      </c>
      <c r="G63" s="707">
        <f t="shared" si="10"/>
        <v>16199643.395926002</v>
      </c>
      <c r="H63" s="707">
        <f t="shared" si="10"/>
        <v>16199643.395926002</v>
      </c>
      <c r="I63" s="707">
        <f t="shared" si="10"/>
        <v>16199643.395926002</v>
      </c>
      <c r="J63" s="707">
        <f t="shared" si="10"/>
        <v>16199643.395926002</v>
      </c>
      <c r="K63" s="707">
        <f t="shared" si="10"/>
        <v>16199643.395926002</v>
      </c>
      <c r="L63" s="707">
        <f t="shared" si="10"/>
        <v>16199643.395926002</v>
      </c>
      <c r="M63" s="707">
        <f t="shared" si="10"/>
        <v>16199643.395173989</v>
      </c>
      <c r="N63" s="707">
        <f t="shared" si="10"/>
        <v>194395720.75036001</v>
      </c>
      <c r="O63" s="707">
        <f t="shared" si="10"/>
        <v>204945384.00448161</v>
      </c>
      <c r="P63" s="707">
        <f t="shared" si="10"/>
        <v>217368397.0372265</v>
      </c>
      <c r="Q63" s="247"/>
      <c r="R63" s="247"/>
      <c r="S63" s="247"/>
      <c r="T63" s="247"/>
      <c r="U63" s="247"/>
      <c r="V63" s="247"/>
      <c r="W63" s="247"/>
    </row>
    <row r="64" spans="1:23" x14ac:dyDescent="0.25">
      <c r="A64" s="247"/>
      <c r="B64" s="247"/>
      <c r="C64" s="247"/>
      <c r="D64" s="247"/>
      <c r="E64" s="707">
        <f t="shared" ref="E64:P64" si="11">E54-E62</f>
        <v>-183758.19176510349</v>
      </c>
      <c r="F64" s="707">
        <f t="shared" si="11"/>
        <v>-183758.19176510349</v>
      </c>
      <c r="G64" s="707">
        <f t="shared" si="11"/>
        <v>-183758.19176510349</v>
      </c>
      <c r="H64" s="707">
        <f t="shared" si="11"/>
        <v>-183758.19176510349</v>
      </c>
      <c r="I64" s="707">
        <f t="shared" si="11"/>
        <v>-183758.19176510349</v>
      </c>
      <c r="J64" s="707">
        <f t="shared" si="11"/>
        <v>-183758.19176510349</v>
      </c>
      <c r="K64" s="707">
        <f t="shared" si="11"/>
        <v>-183758.19176510349</v>
      </c>
      <c r="L64" s="707">
        <f t="shared" si="11"/>
        <v>-183758.19176510349</v>
      </c>
      <c r="M64" s="707">
        <f t="shared" si="11"/>
        <v>2021340.062376108</v>
      </c>
      <c r="N64" s="707">
        <f t="shared" si="11"/>
        <v>-4.7039985656738281E-2</v>
      </c>
      <c r="O64" s="707">
        <f t="shared" si="11"/>
        <v>3588620.0308375955</v>
      </c>
      <c r="P64" s="707">
        <f t="shared" si="11"/>
        <v>3312747.6776118279</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16" activePane="bottomRight" state="frozen"/>
      <selection pane="topRight"/>
      <selection pane="bottomLeft"/>
      <selection pane="bottomRight"/>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LIM471 Ephraim Mogale - NOT REQUIRED - municipality does not have entities</v>
      </c>
      <c r="B1" s="25"/>
      <c r="C1" s="25"/>
      <c r="D1" s="25"/>
      <c r="E1" s="25"/>
      <c r="F1" s="25"/>
      <c r="G1" s="25"/>
      <c r="H1" s="25"/>
      <c r="I1" s="25"/>
      <c r="J1" s="25"/>
      <c r="K1" s="25"/>
    </row>
    <row r="2" spans="1:11" ht="28.5" customHeight="1" x14ac:dyDescent="0.25">
      <c r="A2" s="874" t="str">
        <f>desc</f>
        <v>Description</v>
      </c>
      <c r="B2" s="2732" t="str">
        <f>head27</f>
        <v>Ref</v>
      </c>
      <c r="C2" s="769" t="str">
        <f>head1b</f>
        <v>2012/13</v>
      </c>
      <c r="D2" s="629" t="str">
        <f>head1A</f>
        <v>2013/14</v>
      </c>
      <c r="E2" s="24" t="str">
        <f>Head1</f>
        <v>2014/15</v>
      </c>
      <c r="F2" s="2653" t="str">
        <f>Head2</f>
        <v>Current Year 2015/16</v>
      </c>
      <c r="G2" s="2654"/>
      <c r="H2" s="2658"/>
      <c r="I2" s="2650" t="str">
        <f>Head3</f>
        <v>2016/17 Medium Term Revenue &amp; Expenditure Framework</v>
      </c>
      <c r="J2" s="2651"/>
      <c r="K2" s="2652"/>
    </row>
    <row r="3" spans="1:11" ht="25.5" x14ac:dyDescent="0.25">
      <c r="A3" s="58" t="s">
        <v>624</v>
      </c>
      <c r="B3" s="2733"/>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92" t="s">
        <v>1313</v>
      </c>
      <c r="B4" s="127"/>
      <c r="C4" s="771"/>
      <c r="D4" s="41"/>
      <c r="E4" s="42"/>
      <c r="F4" s="40"/>
      <c r="G4" s="41"/>
      <c r="H4" s="488"/>
      <c r="I4" s="771"/>
      <c r="J4" s="41"/>
      <c r="K4" s="42"/>
    </row>
    <row r="5" spans="1:11" x14ac:dyDescent="0.25">
      <c r="A5" s="773" t="str">
        <f>'A1-Sum'!A5</f>
        <v>Property rates</v>
      </c>
      <c r="B5" s="128"/>
      <c r="C5" s="2465"/>
      <c r="D5" s="2353"/>
      <c r="E5" s="2354"/>
      <c r="F5" s="2355"/>
      <c r="G5" s="2353"/>
      <c r="H5" s="2357"/>
      <c r="I5" s="2465"/>
      <c r="J5" s="2353"/>
      <c r="K5" s="2354"/>
    </row>
    <row r="6" spans="1:11" x14ac:dyDescent="0.25">
      <c r="A6" s="773" t="str">
        <f>'A1-Sum'!A6</f>
        <v>Service charges</v>
      </c>
      <c r="B6" s="128"/>
      <c r="C6" s="2465"/>
      <c r="D6" s="2353"/>
      <c r="E6" s="2354"/>
      <c r="F6" s="2355"/>
      <c r="G6" s="2353"/>
      <c r="H6" s="2357"/>
      <c r="I6" s="2465"/>
      <c r="J6" s="2353"/>
      <c r="K6" s="2354"/>
    </row>
    <row r="7" spans="1:11" x14ac:dyDescent="0.25">
      <c r="A7" s="773" t="str">
        <f>'A1-Sum'!A7</f>
        <v>Investment revenue</v>
      </c>
      <c r="B7" s="128"/>
      <c r="C7" s="2465"/>
      <c r="D7" s="2353"/>
      <c r="E7" s="2354"/>
      <c r="F7" s="2355"/>
      <c r="G7" s="2353"/>
      <c r="H7" s="2357"/>
      <c r="I7" s="2465"/>
      <c r="J7" s="2353"/>
      <c r="K7" s="2354"/>
    </row>
    <row r="8" spans="1:11" x14ac:dyDescent="0.25">
      <c r="A8" s="773" t="str">
        <f>'A1-Sum'!A8</f>
        <v>Transfers recognised - operational</v>
      </c>
      <c r="B8" s="128"/>
      <c r="C8" s="2465"/>
      <c r="D8" s="2353"/>
      <c r="E8" s="2354"/>
      <c r="F8" s="2355"/>
      <c r="G8" s="2353"/>
      <c r="H8" s="2357"/>
      <c r="I8" s="2465"/>
      <c r="J8" s="2353"/>
      <c r="K8" s="2354"/>
    </row>
    <row r="9" spans="1:11" x14ac:dyDescent="0.25">
      <c r="A9" s="773" t="str">
        <f>'A1-Sum'!A9</f>
        <v>Other own revenue</v>
      </c>
      <c r="B9" s="128"/>
      <c r="C9" s="2465"/>
      <c r="D9" s="2353"/>
      <c r="E9" s="2354"/>
      <c r="F9" s="2355"/>
      <c r="G9" s="2353"/>
      <c r="H9" s="2357"/>
      <c r="I9" s="2465"/>
      <c r="J9" s="2353"/>
      <c r="K9" s="2354"/>
    </row>
    <row r="10" spans="1:11" x14ac:dyDescent="0.25">
      <c r="A10" s="773" t="str">
        <f>'A1-Sum'!A21</f>
        <v>Contributions recognised - capital &amp; contributed assets</v>
      </c>
      <c r="B10" s="128"/>
      <c r="C10" s="2465"/>
      <c r="D10" s="2353"/>
      <c r="E10" s="2354"/>
      <c r="F10" s="2355"/>
      <c r="G10" s="2353"/>
      <c r="H10" s="2357"/>
      <c r="I10" s="2465"/>
      <c r="J10" s="2353"/>
      <c r="K10" s="2354"/>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65"/>
      <c r="D12" s="2353"/>
      <c r="E12" s="2354"/>
      <c r="F12" s="2355"/>
      <c r="G12" s="2353"/>
      <c r="H12" s="2357"/>
      <c r="I12" s="2465"/>
      <c r="J12" s="2353"/>
      <c r="K12" s="2354"/>
    </row>
    <row r="13" spans="1:11" x14ac:dyDescent="0.25">
      <c r="A13" s="773" t="s">
        <v>907</v>
      </c>
      <c r="B13" s="128"/>
      <c r="C13" s="2465"/>
      <c r="D13" s="2353"/>
      <c r="E13" s="2354"/>
      <c r="F13" s="2355"/>
      <c r="G13" s="2353"/>
      <c r="H13" s="2357"/>
      <c r="I13" s="2465"/>
      <c r="J13" s="2353"/>
      <c r="K13" s="2354"/>
    </row>
    <row r="14" spans="1:11" x14ac:dyDescent="0.25">
      <c r="A14" s="773" t="str">
        <f>'A1-Sum'!A13</f>
        <v>Depreciation &amp; asset impairment</v>
      </c>
      <c r="B14" s="128"/>
      <c r="C14" s="2465"/>
      <c r="D14" s="2353"/>
      <c r="E14" s="2354"/>
      <c r="F14" s="2355"/>
      <c r="G14" s="2353"/>
      <c r="H14" s="2357"/>
      <c r="I14" s="2465"/>
      <c r="J14" s="2353"/>
      <c r="K14" s="2354"/>
    </row>
    <row r="15" spans="1:11" x14ac:dyDescent="0.25">
      <c r="A15" s="773" t="str">
        <f>'A1-Sum'!A14</f>
        <v>Finance charges</v>
      </c>
      <c r="B15" s="128"/>
      <c r="C15" s="2465"/>
      <c r="D15" s="2353"/>
      <c r="E15" s="2354"/>
      <c r="F15" s="2355"/>
      <c r="G15" s="2353"/>
      <c r="H15" s="2357"/>
      <c r="I15" s="2465"/>
      <c r="J15" s="2353"/>
      <c r="K15" s="2354"/>
    </row>
    <row r="16" spans="1:11" x14ac:dyDescent="0.25">
      <c r="A16" s="773" t="str">
        <f>'A1-Sum'!A15</f>
        <v>Materials and bulk purchases</v>
      </c>
      <c r="B16" s="128"/>
      <c r="C16" s="2465"/>
      <c r="D16" s="2353"/>
      <c r="E16" s="2354"/>
      <c r="F16" s="2355"/>
      <c r="G16" s="2353"/>
      <c r="H16" s="2357"/>
      <c r="I16" s="2465"/>
      <c r="J16" s="2353"/>
      <c r="K16" s="2354"/>
    </row>
    <row r="17" spans="1:12" x14ac:dyDescent="0.25">
      <c r="A17" s="773" t="str">
        <f>'A1-Sum'!A16</f>
        <v>Transfers and grants</v>
      </c>
      <c r="B17" s="128"/>
      <c r="C17" s="2465"/>
      <c r="D17" s="2353"/>
      <c r="E17" s="2354"/>
      <c r="F17" s="2355"/>
      <c r="G17" s="2353"/>
      <c r="H17" s="2357"/>
      <c r="I17" s="2465"/>
      <c r="J17" s="2353"/>
      <c r="K17" s="2354"/>
    </row>
    <row r="18" spans="1:12" x14ac:dyDescent="0.25">
      <c r="A18" s="773" t="str">
        <f>'A1-Sum'!A17</f>
        <v>Other expenditure</v>
      </c>
      <c r="B18" s="128"/>
      <c r="C18" s="2465"/>
      <c r="D18" s="2353"/>
      <c r="E18" s="2354"/>
      <c r="F18" s="2355"/>
      <c r="G18" s="2353"/>
      <c r="H18" s="2357"/>
      <c r="I18" s="2465"/>
      <c r="J18" s="2353"/>
      <c r="K18" s="2354"/>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1019</v>
      </c>
      <c r="B22" s="127"/>
      <c r="C22" s="771"/>
      <c r="D22" s="41"/>
      <c r="E22" s="42"/>
      <c r="F22" s="40"/>
      <c r="G22" s="41"/>
      <c r="H22" s="488"/>
      <c r="I22" s="771"/>
      <c r="J22" s="41"/>
      <c r="K22" s="42"/>
    </row>
    <row r="23" spans="1:12" x14ac:dyDescent="0.25">
      <c r="A23" s="793" t="s">
        <v>1443</v>
      </c>
      <c r="B23" s="251"/>
      <c r="C23" s="2466"/>
      <c r="D23" s="2467"/>
      <c r="E23" s="2468"/>
      <c r="F23" s="2469"/>
      <c r="G23" s="2467"/>
      <c r="H23" s="2470"/>
      <c r="I23" s="2466"/>
      <c r="J23" s="2467"/>
      <c r="K23" s="2468"/>
      <c r="L23" s="124"/>
    </row>
    <row r="24" spans="1:12" x14ac:dyDescent="0.25">
      <c r="A24" s="773" t="str">
        <f>A8</f>
        <v>Transfers recognised - operational</v>
      </c>
      <c r="B24" s="128"/>
      <c r="C24" s="2465"/>
      <c r="D24" s="2353"/>
      <c r="E24" s="2354"/>
      <c r="F24" s="2355"/>
      <c r="G24" s="2353"/>
      <c r="H24" s="2357"/>
      <c r="I24" s="2465"/>
      <c r="J24" s="2353"/>
      <c r="K24" s="2354"/>
      <c r="L24" s="794"/>
    </row>
    <row r="25" spans="1:12" x14ac:dyDescent="0.25">
      <c r="A25" s="773" t="str">
        <f>'A5-Capex'!A71</f>
        <v>Public contributions &amp; donations</v>
      </c>
      <c r="B25" s="128"/>
      <c r="C25" s="2465"/>
      <c r="D25" s="2353"/>
      <c r="E25" s="2354"/>
      <c r="F25" s="2355"/>
      <c r="G25" s="2353"/>
      <c r="H25" s="2357"/>
      <c r="I25" s="2465"/>
      <c r="J25" s="2353"/>
      <c r="K25" s="2354"/>
      <c r="L25" s="794"/>
    </row>
    <row r="26" spans="1:12" x14ac:dyDescent="0.25">
      <c r="A26" s="773" t="str">
        <f>'A5-Capex'!A72</f>
        <v>Borrowing</v>
      </c>
      <c r="B26" s="128"/>
      <c r="C26" s="2465"/>
      <c r="D26" s="2353"/>
      <c r="E26" s="2354"/>
      <c r="F26" s="2355"/>
      <c r="G26" s="2353"/>
      <c r="H26" s="2357"/>
      <c r="I26" s="2465"/>
      <c r="J26" s="2353"/>
      <c r="K26" s="2354"/>
      <c r="L26" s="794"/>
    </row>
    <row r="27" spans="1:12" x14ac:dyDescent="0.25">
      <c r="A27" s="773" t="str">
        <f>'A5-Capex'!A73</f>
        <v>Internally generated funds</v>
      </c>
      <c r="B27" s="128"/>
      <c r="C27" s="2465"/>
      <c r="D27" s="2353"/>
      <c r="E27" s="2354"/>
      <c r="F27" s="2355"/>
      <c r="G27" s="2353"/>
      <c r="H27" s="2357"/>
      <c r="I27" s="2465"/>
      <c r="J27" s="2353"/>
      <c r="K27" s="2354"/>
      <c r="L27" s="794"/>
    </row>
    <row r="28" spans="1:12" x14ac:dyDescent="0.25">
      <c r="A28" s="51" t="s">
        <v>884</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65"/>
      <c r="D31" s="2353"/>
      <c r="E31" s="2354"/>
      <c r="F31" s="2355"/>
      <c r="G31" s="2353"/>
      <c r="H31" s="2357"/>
      <c r="I31" s="2465"/>
      <c r="J31" s="2353"/>
      <c r="K31" s="2354"/>
    </row>
    <row r="32" spans="1:12" x14ac:dyDescent="0.25">
      <c r="A32" s="773" t="str">
        <f>'A6-FinPos'!A24</f>
        <v>Total non current assets</v>
      </c>
      <c r="B32" s="128"/>
      <c r="C32" s="2465"/>
      <c r="D32" s="2353"/>
      <c r="E32" s="2354"/>
      <c r="F32" s="2355"/>
      <c r="G32" s="2353"/>
      <c r="H32" s="2357"/>
      <c r="I32" s="2465"/>
      <c r="J32" s="2353"/>
      <c r="K32" s="2354"/>
    </row>
    <row r="33" spans="1:15" x14ac:dyDescent="0.25">
      <c r="A33" s="773" t="str">
        <f>'A6-FinPos'!A34</f>
        <v>Total current liabilities</v>
      </c>
      <c r="B33" s="128"/>
      <c r="C33" s="2465"/>
      <c r="D33" s="2353"/>
      <c r="E33" s="2354"/>
      <c r="F33" s="2355"/>
      <c r="G33" s="2353"/>
      <c r="H33" s="2357"/>
      <c r="I33" s="2465"/>
      <c r="J33" s="2353"/>
      <c r="K33" s="2354"/>
    </row>
    <row r="34" spans="1:15" x14ac:dyDescent="0.25">
      <c r="A34" s="773" t="str">
        <f>'A6-FinPos'!A39</f>
        <v>Total non current liabilities</v>
      </c>
      <c r="B34" s="128"/>
      <c r="C34" s="2465"/>
      <c r="D34" s="2353"/>
      <c r="E34" s="2354"/>
      <c r="F34" s="2355"/>
      <c r="G34" s="2353"/>
      <c r="H34" s="2357"/>
      <c r="I34" s="2465"/>
      <c r="J34" s="2353"/>
      <c r="K34" s="2354"/>
    </row>
    <row r="35" spans="1:15" x14ac:dyDescent="0.25">
      <c r="A35" s="773" t="s">
        <v>578</v>
      </c>
      <c r="B35" s="128"/>
      <c r="C35" s="2465"/>
      <c r="D35" s="2353"/>
      <c r="E35" s="2354"/>
      <c r="F35" s="2355"/>
      <c r="G35" s="2353"/>
      <c r="H35" s="2357"/>
      <c r="I35" s="2465"/>
      <c r="J35" s="2353"/>
      <c r="K35" s="2354"/>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65"/>
      <c r="D38" s="2353"/>
      <c r="E38" s="2354"/>
      <c r="F38" s="2355"/>
      <c r="G38" s="2353"/>
      <c r="H38" s="2357"/>
      <c r="I38" s="2465"/>
      <c r="J38" s="2353"/>
      <c r="K38" s="2354"/>
    </row>
    <row r="39" spans="1:15" x14ac:dyDescent="0.25">
      <c r="A39" s="773" t="str">
        <f>'A1-Sum'!A43</f>
        <v>Net cash from (used) investing</v>
      </c>
      <c r="B39" s="128"/>
      <c r="C39" s="2465"/>
      <c r="D39" s="2353"/>
      <c r="E39" s="2354"/>
      <c r="F39" s="2355"/>
      <c r="G39" s="2353"/>
      <c r="H39" s="2357"/>
      <c r="I39" s="2465"/>
      <c r="J39" s="2353"/>
      <c r="K39" s="2354"/>
    </row>
    <row r="40" spans="1:15" x14ac:dyDescent="0.25">
      <c r="A40" s="773" t="str">
        <f>'A1-Sum'!A44</f>
        <v>Net cash from (used) financing</v>
      </c>
      <c r="B40" s="128"/>
      <c r="C40" s="2465"/>
      <c r="D40" s="2353"/>
      <c r="E40" s="2354"/>
      <c r="F40" s="2355"/>
      <c r="G40" s="2353"/>
      <c r="H40" s="2357"/>
      <c r="I40" s="2465"/>
      <c r="J40" s="2353"/>
      <c r="K40" s="2354"/>
    </row>
    <row r="41" spans="1:15" x14ac:dyDescent="0.25">
      <c r="A41" s="774" t="str">
        <f>'A1-Sum'!A45</f>
        <v>Cash/cash equivalents at the year end</v>
      </c>
      <c r="B41" s="143"/>
      <c r="C41" s="2465"/>
      <c r="D41" s="2353"/>
      <c r="E41" s="2354"/>
      <c r="F41" s="2355"/>
      <c r="G41" s="2353"/>
      <c r="H41" s="2357"/>
      <c r="I41" s="2465"/>
      <c r="J41" s="2353"/>
      <c r="K41" s="2354"/>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F6" sqref="F6"/>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LIM471 Ephraim Mogale - Supporting Table SA32 List of external mechanisms</v>
      </c>
      <c r="B1" s="25"/>
      <c r="C1" s="25"/>
      <c r="D1" s="25"/>
      <c r="E1" s="25"/>
      <c r="F1" s="25"/>
    </row>
    <row r="2" spans="1:6" ht="33.75" customHeight="1" x14ac:dyDescent="0.25">
      <c r="A2" s="20" t="s">
        <v>310</v>
      </c>
      <c r="B2" s="2708" t="s">
        <v>1601</v>
      </c>
      <c r="C2" s="509" t="s">
        <v>313</v>
      </c>
      <c r="D2" s="2708" t="s">
        <v>314</v>
      </c>
      <c r="E2" s="2708" t="s">
        <v>312</v>
      </c>
      <c r="F2" s="800" t="s">
        <v>315</v>
      </c>
    </row>
    <row r="3" spans="1:6" ht="24.75" customHeight="1" x14ac:dyDescent="0.25">
      <c r="A3" s="19" t="s">
        <v>311</v>
      </c>
      <c r="B3" s="2709"/>
      <c r="C3" s="801" t="s">
        <v>1602</v>
      </c>
      <c r="D3" s="2709"/>
      <c r="E3" s="2709"/>
      <c r="F3" s="802" t="s">
        <v>625</v>
      </c>
    </row>
    <row r="4" spans="1:6" ht="11.25" customHeight="1" x14ac:dyDescent="0.25">
      <c r="A4" s="2471" t="s">
        <v>2383</v>
      </c>
      <c r="B4" s="2326"/>
      <c r="C4" s="2326"/>
      <c r="D4" s="2472" t="s">
        <v>2384</v>
      </c>
      <c r="E4" s="2473"/>
      <c r="F4" s="2106">
        <v>531874.24600000004</v>
      </c>
    </row>
    <row r="5" spans="1:6" ht="11.25" customHeight="1" x14ac:dyDescent="0.25">
      <c r="A5" s="2471" t="s">
        <v>2385</v>
      </c>
      <c r="B5" s="2326"/>
      <c r="C5" s="2326"/>
      <c r="D5" s="2472" t="s">
        <v>2384</v>
      </c>
      <c r="E5" s="2474"/>
      <c r="F5" s="2106">
        <v>369341.03639999998</v>
      </c>
    </row>
    <row r="6" spans="1:6" ht="11.25" customHeight="1" x14ac:dyDescent="0.25">
      <c r="A6" s="2471" t="s">
        <v>2386</v>
      </c>
      <c r="B6" s="2326"/>
      <c r="C6" s="2326"/>
      <c r="D6" s="2472" t="s">
        <v>2387</v>
      </c>
      <c r="E6" s="2473"/>
      <c r="F6" s="2106">
        <v>295776</v>
      </c>
    </row>
    <row r="7" spans="1:6" ht="11.25" customHeight="1" x14ac:dyDescent="0.25">
      <c r="A7" s="2471" t="s">
        <v>2388</v>
      </c>
      <c r="B7" s="2326"/>
      <c r="C7" s="2326"/>
      <c r="D7" s="2472" t="s">
        <v>2389</v>
      </c>
      <c r="E7" s="2473"/>
      <c r="F7" s="2106">
        <v>757808</v>
      </c>
    </row>
    <row r="8" spans="1:6" ht="11.25" customHeight="1" x14ac:dyDescent="0.25">
      <c r="A8" s="2471" t="s">
        <v>2390</v>
      </c>
      <c r="B8" s="2326"/>
      <c r="C8" s="2326"/>
      <c r="D8" s="2472" t="s">
        <v>2391</v>
      </c>
      <c r="E8" s="2473"/>
      <c r="F8" s="2106">
        <v>312000</v>
      </c>
    </row>
    <row r="9" spans="1:6" ht="11.25" customHeight="1" x14ac:dyDescent="0.25">
      <c r="A9" s="2471" t="s">
        <v>2392</v>
      </c>
      <c r="B9" s="2326"/>
      <c r="C9" s="2326"/>
      <c r="D9" s="2472" t="s">
        <v>2391</v>
      </c>
      <c r="E9" s="2473"/>
      <c r="F9" s="2106">
        <v>239000</v>
      </c>
    </row>
    <row r="10" spans="1:6" ht="11.25" customHeight="1" x14ac:dyDescent="0.25">
      <c r="A10" s="2471" t="s">
        <v>2393</v>
      </c>
      <c r="B10" s="2326"/>
      <c r="C10" s="2326"/>
      <c r="D10" s="2472" t="s">
        <v>2394</v>
      </c>
      <c r="E10" s="2473"/>
      <c r="F10" s="2106">
        <v>275000</v>
      </c>
    </row>
    <row r="11" spans="1:6" ht="11.25" customHeight="1" x14ac:dyDescent="0.25">
      <c r="A11" s="2471" t="s">
        <v>2395</v>
      </c>
      <c r="B11" s="2326"/>
      <c r="C11" s="2326"/>
      <c r="D11" s="2472" t="s">
        <v>2396</v>
      </c>
      <c r="E11" s="2473"/>
      <c r="F11" s="2106">
        <v>3600000</v>
      </c>
    </row>
    <row r="12" spans="1:6" ht="11.25" customHeight="1" x14ac:dyDescent="0.25">
      <c r="A12" s="2471" t="s">
        <v>2397</v>
      </c>
      <c r="B12" s="2326"/>
      <c r="C12" s="2326"/>
      <c r="D12" s="2472" t="s">
        <v>2398</v>
      </c>
      <c r="E12" s="2473"/>
      <c r="F12" s="2106">
        <v>195855.78659999999</v>
      </c>
    </row>
    <row r="13" spans="1:6" ht="11.25" customHeight="1" x14ac:dyDescent="0.25">
      <c r="A13" s="2471" t="s">
        <v>2399</v>
      </c>
      <c r="B13" s="2326"/>
      <c r="C13" s="2326"/>
      <c r="D13" s="2472" t="s">
        <v>2400</v>
      </c>
      <c r="E13" s="2473"/>
      <c r="F13" s="2106">
        <v>132773.37399999998</v>
      </c>
    </row>
    <row r="14" spans="1:6" ht="11.25" customHeight="1" x14ac:dyDescent="0.25">
      <c r="A14" s="2471" t="s">
        <v>2401</v>
      </c>
      <c r="B14" s="2326"/>
      <c r="C14" s="2326"/>
      <c r="D14" s="2472" t="s">
        <v>2402</v>
      </c>
      <c r="E14" s="2473"/>
      <c r="F14" s="2106">
        <v>392200</v>
      </c>
    </row>
    <row r="15" spans="1:6" ht="11.25" customHeight="1" x14ac:dyDescent="0.25">
      <c r="A15" s="2471"/>
      <c r="B15" s="2326"/>
      <c r="C15" s="2326"/>
      <c r="D15" s="2472"/>
      <c r="E15" s="2473"/>
      <c r="F15" s="2106"/>
    </row>
    <row r="16" spans="1:6" ht="11.25" customHeight="1" x14ac:dyDescent="0.25">
      <c r="A16" s="2471"/>
      <c r="B16" s="2326"/>
      <c r="C16" s="2326"/>
      <c r="D16" s="2472"/>
      <c r="E16" s="2473"/>
      <c r="F16" s="2106"/>
    </row>
    <row r="17" spans="1:12" ht="11.25" customHeight="1" x14ac:dyDescent="0.25">
      <c r="A17" s="2471"/>
      <c r="B17" s="2326"/>
      <c r="C17" s="2326"/>
      <c r="D17" s="2472"/>
      <c r="E17" s="2473"/>
      <c r="F17" s="2106"/>
    </row>
    <row r="18" spans="1:12" ht="11.25" customHeight="1" x14ac:dyDescent="0.25">
      <c r="A18" s="2471"/>
      <c r="B18" s="2326"/>
      <c r="C18" s="2326"/>
      <c r="D18" s="2472"/>
      <c r="E18" s="2473"/>
      <c r="F18" s="2106"/>
    </row>
    <row r="19" spans="1:12" ht="11.25" customHeight="1" x14ac:dyDescent="0.25">
      <c r="A19" s="2471"/>
      <c r="B19" s="2326"/>
      <c r="C19" s="2326"/>
      <c r="D19" s="2472"/>
      <c r="E19" s="2473"/>
      <c r="F19" s="2106"/>
    </row>
    <row r="20" spans="1:12" ht="11.25" customHeight="1" x14ac:dyDescent="0.25">
      <c r="A20" s="2471"/>
      <c r="B20" s="2326"/>
      <c r="C20" s="2326"/>
      <c r="D20" s="2472"/>
      <c r="E20" s="2473"/>
      <c r="F20" s="2106"/>
    </row>
    <row r="21" spans="1:12" ht="11.25" customHeight="1" x14ac:dyDescent="0.25">
      <c r="A21" s="2471"/>
      <c r="B21" s="2326"/>
      <c r="C21" s="2326"/>
      <c r="D21" s="2472"/>
      <c r="E21" s="2473"/>
      <c r="F21" s="2106"/>
    </row>
    <row r="22" spans="1:12" ht="11.25" customHeight="1" x14ac:dyDescent="0.25">
      <c r="A22" s="2471"/>
      <c r="B22" s="2326"/>
      <c r="C22" s="2326"/>
      <c r="D22" s="2472"/>
      <c r="E22" s="2473"/>
      <c r="F22" s="2106"/>
    </row>
    <row r="23" spans="1:12" x14ac:dyDescent="0.25">
      <c r="A23" s="2475"/>
      <c r="B23" s="2476"/>
      <c r="C23" s="2476"/>
      <c r="D23" s="2477"/>
      <c r="E23" s="2478"/>
      <c r="F23" s="2479"/>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LIM471 Ephraim Mogale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2015/16</v>
      </c>
      <c r="E2" s="2650" t="str">
        <f>Head3</f>
        <v>2016/17 Medium Term Revenue &amp; Expenditure Framework</v>
      </c>
      <c r="F2" s="2651"/>
      <c r="G2" s="2652"/>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3" t="s">
        <v>641</v>
      </c>
    </row>
    <row r="3" spans="1:15" ht="25.5" x14ac:dyDescent="0.25">
      <c r="A3" s="58" t="s">
        <v>625</v>
      </c>
      <c r="B3" s="804" t="s">
        <v>493</v>
      </c>
      <c r="C3" s="267" t="s">
        <v>729</v>
      </c>
      <c r="D3" s="268" t="str">
        <f>Head6</f>
        <v>Original Budget</v>
      </c>
      <c r="E3" s="177" t="str">
        <f>Head9</f>
        <v>Budget Year 2016/17</v>
      </c>
      <c r="F3" s="267" t="str">
        <f>Head10</f>
        <v>Budget Year +1 2017/18</v>
      </c>
      <c r="G3" s="268" t="str">
        <f>Head11</f>
        <v>Budget Year +2 2018/19</v>
      </c>
      <c r="H3" s="177" t="s">
        <v>377</v>
      </c>
      <c r="I3" s="267" t="s">
        <v>377</v>
      </c>
      <c r="J3" s="267" t="s">
        <v>377</v>
      </c>
      <c r="K3" s="267" t="s">
        <v>377</v>
      </c>
      <c r="L3" s="267" t="s">
        <v>377</v>
      </c>
      <c r="M3" s="267" t="s">
        <v>377</v>
      </c>
      <c r="N3" s="268" t="s">
        <v>377</v>
      </c>
      <c r="O3" s="875" t="s">
        <v>377</v>
      </c>
    </row>
    <row r="4" spans="1:15" x14ac:dyDescent="0.25">
      <c r="A4" s="143" t="s">
        <v>941</v>
      </c>
      <c r="B4" s="60"/>
      <c r="C4" s="189"/>
      <c r="D4" s="190"/>
      <c r="E4" s="191"/>
      <c r="F4" s="189"/>
      <c r="G4" s="192"/>
      <c r="H4" s="190"/>
      <c r="I4" s="189"/>
      <c r="J4" s="189"/>
      <c r="K4" s="189"/>
      <c r="L4" s="189"/>
      <c r="M4" s="189"/>
      <c r="N4" s="192"/>
      <c r="O4" s="297"/>
    </row>
    <row r="5" spans="1:15" x14ac:dyDescent="0.25">
      <c r="A5" s="127" t="s">
        <v>1539</v>
      </c>
      <c r="B5" s="60">
        <v>2</v>
      </c>
      <c r="C5" s="193"/>
      <c r="D5" s="194"/>
      <c r="E5" s="195"/>
      <c r="F5" s="193"/>
      <c r="G5" s="196"/>
      <c r="H5" s="194"/>
      <c r="I5" s="193"/>
      <c r="J5" s="193"/>
      <c r="K5" s="193"/>
      <c r="L5" s="193"/>
      <c r="M5" s="193"/>
      <c r="N5" s="196"/>
      <c r="O5" s="805"/>
    </row>
    <row r="6" spans="1:15" x14ac:dyDescent="0.25">
      <c r="A6" s="2445" t="s">
        <v>378</v>
      </c>
      <c r="B6" s="60"/>
      <c r="C6" s="2480"/>
      <c r="D6" s="2481"/>
      <c r="E6" s="2482"/>
      <c r="F6" s="2480"/>
      <c r="G6" s="2483"/>
      <c r="H6" s="2481"/>
      <c r="I6" s="2480"/>
      <c r="J6" s="2480"/>
      <c r="K6" s="2480"/>
      <c r="L6" s="2480"/>
      <c r="M6" s="2480"/>
      <c r="N6" s="2483"/>
      <c r="O6" s="463">
        <f>SUM(C6:N6)</f>
        <v>0</v>
      </c>
    </row>
    <row r="7" spans="1:15" x14ac:dyDescent="0.25">
      <c r="A7" s="2445" t="s">
        <v>379</v>
      </c>
      <c r="B7" s="60"/>
      <c r="C7" s="2121"/>
      <c r="D7" s="1457"/>
      <c r="E7" s="2123"/>
      <c r="F7" s="2121"/>
      <c r="G7" s="2122"/>
      <c r="H7" s="1457"/>
      <c r="I7" s="2121"/>
      <c r="J7" s="2121"/>
      <c r="K7" s="2121"/>
      <c r="L7" s="2121"/>
      <c r="M7" s="2121"/>
      <c r="N7" s="2122"/>
      <c r="O7" s="463">
        <f>SUM(C7:N7)</f>
        <v>0</v>
      </c>
    </row>
    <row r="8" spans="1:15" x14ac:dyDescent="0.25">
      <c r="A8" s="2445" t="s">
        <v>380</v>
      </c>
      <c r="B8" s="60"/>
      <c r="C8" s="2088"/>
      <c r="D8" s="2108"/>
      <c r="E8" s="2107"/>
      <c r="F8" s="2088"/>
      <c r="G8" s="2106"/>
      <c r="H8" s="2108"/>
      <c r="I8" s="2088"/>
      <c r="J8" s="2088"/>
      <c r="K8" s="2088"/>
      <c r="L8" s="2088"/>
      <c r="M8" s="2088"/>
      <c r="N8" s="2106"/>
      <c r="O8" s="463">
        <f>SUM(C8:N8)</f>
        <v>0</v>
      </c>
    </row>
    <row r="9" spans="1:15" x14ac:dyDescent="0.25">
      <c r="A9" s="143" t="s">
        <v>1289</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942</v>
      </c>
      <c r="B11" s="60">
        <v>2</v>
      </c>
      <c r="C11" s="81"/>
      <c r="D11" s="80"/>
      <c r="E11" s="83"/>
      <c r="F11" s="81"/>
      <c r="G11" s="82"/>
      <c r="H11" s="80"/>
      <c r="I11" s="81"/>
      <c r="J11" s="81"/>
      <c r="K11" s="81"/>
      <c r="L11" s="81"/>
      <c r="M11" s="81"/>
      <c r="N11" s="82"/>
      <c r="O11" s="463"/>
    </row>
    <row r="12" spans="1:15" x14ac:dyDescent="0.25">
      <c r="A12" s="2445" t="s">
        <v>378</v>
      </c>
      <c r="B12" s="60"/>
      <c r="C12" s="2088"/>
      <c r="D12" s="2108"/>
      <c r="E12" s="2107"/>
      <c r="F12" s="2088"/>
      <c r="G12" s="2106"/>
      <c r="H12" s="2108"/>
      <c r="I12" s="2088"/>
      <c r="J12" s="2088"/>
      <c r="K12" s="2088"/>
      <c r="L12" s="2088"/>
      <c r="M12" s="2088"/>
      <c r="N12" s="2106"/>
      <c r="O12" s="463">
        <f>SUM(C12:N12)</f>
        <v>0</v>
      </c>
    </row>
    <row r="13" spans="1:15" x14ac:dyDescent="0.25">
      <c r="A13" s="2445" t="s">
        <v>379</v>
      </c>
      <c r="B13" s="60"/>
      <c r="C13" s="2088"/>
      <c r="D13" s="2108"/>
      <c r="E13" s="2107"/>
      <c r="F13" s="2088"/>
      <c r="G13" s="2106"/>
      <c r="H13" s="2108"/>
      <c r="I13" s="2088"/>
      <c r="J13" s="2088"/>
      <c r="K13" s="2088"/>
      <c r="L13" s="2088"/>
      <c r="M13" s="2088"/>
      <c r="N13" s="2106"/>
      <c r="O13" s="463">
        <f>SUM(C13:N13)</f>
        <v>0</v>
      </c>
    </row>
    <row r="14" spans="1:15" x14ac:dyDescent="0.25">
      <c r="A14" s="2445" t="s">
        <v>380</v>
      </c>
      <c r="B14" s="60"/>
      <c r="C14" s="2088"/>
      <c r="D14" s="2108"/>
      <c r="E14" s="2107"/>
      <c r="F14" s="2088"/>
      <c r="G14" s="2106"/>
      <c r="H14" s="2108"/>
      <c r="I14" s="2088"/>
      <c r="J14" s="2088"/>
      <c r="K14" s="2088"/>
      <c r="L14" s="2088"/>
      <c r="M14" s="2088"/>
      <c r="N14" s="2106"/>
      <c r="O14" s="463">
        <f>SUM(C14:N14)</f>
        <v>0</v>
      </c>
    </row>
    <row r="15" spans="1:15" x14ac:dyDescent="0.25">
      <c r="A15" s="143" t="s">
        <v>944</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943</v>
      </c>
      <c r="B17" s="60">
        <v>2</v>
      </c>
      <c r="C17" s="96"/>
      <c r="D17" s="95"/>
      <c r="E17" s="98"/>
      <c r="F17" s="96"/>
      <c r="G17" s="97"/>
      <c r="H17" s="95"/>
      <c r="I17" s="96"/>
      <c r="J17" s="96"/>
      <c r="K17" s="96"/>
      <c r="L17" s="96"/>
      <c r="M17" s="96"/>
      <c r="N17" s="97"/>
      <c r="O17" s="463"/>
    </row>
    <row r="18" spans="1:15" x14ac:dyDescent="0.25">
      <c r="A18" s="2445" t="s">
        <v>378</v>
      </c>
      <c r="B18" s="60"/>
      <c r="C18" s="2088"/>
      <c r="D18" s="2108"/>
      <c r="E18" s="2107"/>
      <c r="F18" s="2088"/>
      <c r="G18" s="2106"/>
      <c r="H18" s="2108"/>
      <c r="I18" s="2088"/>
      <c r="J18" s="2088"/>
      <c r="K18" s="2088"/>
      <c r="L18" s="2088"/>
      <c r="M18" s="2088"/>
      <c r="N18" s="2106"/>
      <c r="O18" s="463">
        <f>SUM(C18:N18)</f>
        <v>0</v>
      </c>
    </row>
    <row r="19" spans="1:15" x14ac:dyDescent="0.25">
      <c r="A19" s="2445" t="s">
        <v>379</v>
      </c>
      <c r="B19" s="60"/>
      <c r="C19" s="2088"/>
      <c r="D19" s="2108"/>
      <c r="E19" s="2107"/>
      <c r="F19" s="2088"/>
      <c r="G19" s="2106"/>
      <c r="H19" s="2108"/>
      <c r="I19" s="2088"/>
      <c r="J19" s="2088"/>
      <c r="K19" s="2088"/>
      <c r="L19" s="2088"/>
      <c r="M19" s="2088"/>
      <c r="N19" s="2106"/>
      <c r="O19" s="463">
        <f>SUM(C19:N19)</f>
        <v>0</v>
      </c>
    </row>
    <row r="20" spans="1:15" x14ac:dyDescent="0.25">
      <c r="A20" s="2445" t="s">
        <v>380</v>
      </c>
      <c r="B20" s="60"/>
      <c r="C20" s="2088"/>
      <c r="D20" s="2108"/>
      <c r="E20" s="2107"/>
      <c r="F20" s="2088"/>
      <c r="G20" s="2106"/>
      <c r="H20" s="2108"/>
      <c r="I20" s="2088"/>
      <c r="J20" s="2088"/>
      <c r="K20" s="2088"/>
      <c r="L20" s="2088"/>
      <c r="M20" s="2088"/>
      <c r="N20" s="2106"/>
      <c r="O20" s="463">
        <f>SUM(C20:N20)</f>
        <v>0</v>
      </c>
    </row>
    <row r="21" spans="1:15" x14ac:dyDescent="0.25">
      <c r="A21" s="143" t="s">
        <v>1369</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1539</v>
      </c>
      <c r="B26" s="60">
        <v>2</v>
      </c>
      <c r="C26" s="193"/>
      <c r="D26" s="194"/>
      <c r="E26" s="195"/>
      <c r="F26" s="193"/>
      <c r="G26" s="196"/>
      <c r="H26" s="194"/>
      <c r="I26" s="193"/>
      <c r="J26" s="193"/>
      <c r="K26" s="193"/>
      <c r="L26" s="193"/>
      <c r="M26" s="193"/>
      <c r="N26" s="196"/>
      <c r="O26" s="805"/>
    </row>
    <row r="27" spans="1:15" ht="11.25" customHeight="1" x14ac:dyDescent="0.25">
      <c r="A27" s="2445" t="s">
        <v>378</v>
      </c>
      <c r="B27" s="60"/>
      <c r="C27" s="2480"/>
      <c r="D27" s="2481"/>
      <c r="E27" s="2482"/>
      <c r="F27" s="2480"/>
      <c r="G27" s="2483"/>
      <c r="H27" s="2481"/>
      <c r="I27" s="2480"/>
      <c r="J27" s="2480"/>
      <c r="K27" s="2480"/>
      <c r="L27" s="2480"/>
      <c r="M27" s="2480"/>
      <c r="N27" s="2483"/>
      <c r="O27" s="463">
        <f>SUM(C27:N27)</f>
        <v>0</v>
      </c>
    </row>
    <row r="28" spans="1:15" ht="11.25" customHeight="1" x14ac:dyDescent="0.25">
      <c r="A28" s="2445" t="s">
        <v>379</v>
      </c>
      <c r="B28" s="60"/>
      <c r="C28" s="2121"/>
      <c r="D28" s="1457"/>
      <c r="E28" s="2123"/>
      <c r="F28" s="2121"/>
      <c r="G28" s="2122"/>
      <c r="H28" s="1457"/>
      <c r="I28" s="2121"/>
      <c r="J28" s="2121"/>
      <c r="K28" s="2121"/>
      <c r="L28" s="2121"/>
      <c r="M28" s="2121"/>
      <c r="N28" s="2122"/>
      <c r="O28" s="463">
        <f>SUM(C28:N28)</f>
        <v>0</v>
      </c>
    </row>
    <row r="29" spans="1:15" ht="11.25" customHeight="1" x14ac:dyDescent="0.25">
      <c r="A29" s="2445" t="s">
        <v>380</v>
      </c>
      <c r="B29" s="60"/>
      <c r="C29" s="2088"/>
      <c r="D29" s="2108"/>
      <c r="E29" s="2107"/>
      <c r="F29" s="2088"/>
      <c r="G29" s="2106"/>
      <c r="H29" s="2108"/>
      <c r="I29" s="2088"/>
      <c r="J29" s="2088"/>
      <c r="K29" s="2088"/>
      <c r="L29" s="2088"/>
      <c r="M29" s="2088"/>
      <c r="N29" s="2106"/>
      <c r="O29" s="463">
        <f>SUM(C29:N29)</f>
        <v>0</v>
      </c>
    </row>
    <row r="30" spans="1:15" ht="11.25" customHeight="1" x14ac:dyDescent="0.25">
      <c r="A30" s="143" t="s">
        <v>1289</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942</v>
      </c>
      <c r="B32" s="60">
        <v>2</v>
      </c>
      <c r="C32" s="81"/>
      <c r="D32" s="80"/>
      <c r="E32" s="83"/>
      <c r="F32" s="81"/>
      <c r="G32" s="82"/>
      <c r="H32" s="80"/>
      <c r="I32" s="81"/>
      <c r="J32" s="81"/>
      <c r="K32" s="81"/>
      <c r="L32" s="81"/>
      <c r="M32" s="81"/>
      <c r="N32" s="82"/>
      <c r="O32" s="463"/>
    </row>
    <row r="33" spans="1:15" ht="11.25" customHeight="1" x14ac:dyDescent="0.25">
      <c r="A33" s="2445" t="s">
        <v>378</v>
      </c>
      <c r="B33" s="60"/>
      <c r="C33" s="2088"/>
      <c r="D33" s="2108"/>
      <c r="E33" s="2107"/>
      <c r="F33" s="2088"/>
      <c r="G33" s="2106"/>
      <c r="H33" s="2108"/>
      <c r="I33" s="2088"/>
      <c r="J33" s="2088"/>
      <c r="K33" s="2088"/>
      <c r="L33" s="2088"/>
      <c r="M33" s="2088"/>
      <c r="N33" s="2106"/>
      <c r="O33" s="463">
        <f>SUM(C33:N33)</f>
        <v>0</v>
      </c>
    </row>
    <row r="34" spans="1:15" ht="11.25" customHeight="1" x14ac:dyDescent="0.25">
      <c r="A34" s="2445" t="s">
        <v>379</v>
      </c>
      <c r="B34" s="60"/>
      <c r="C34" s="2088"/>
      <c r="D34" s="2108"/>
      <c r="E34" s="2107"/>
      <c r="F34" s="2088"/>
      <c r="G34" s="2106"/>
      <c r="H34" s="2108"/>
      <c r="I34" s="2088"/>
      <c r="J34" s="2088"/>
      <c r="K34" s="2088"/>
      <c r="L34" s="2088"/>
      <c r="M34" s="2088"/>
      <c r="N34" s="2106"/>
      <c r="O34" s="463">
        <f>SUM(C34:N34)</f>
        <v>0</v>
      </c>
    </row>
    <row r="35" spans="1:15" ht="11.25" customHeight="1" x14ac:dyDescent="0.25">
      <c r="A35" s="2445" t="s">
        <v>380</v>
      </c>
      <c r="B35" s="60"/>
      <c r="C35" s="2088"/>
      <c r="D35" s="2108"/>
      <c r="E35" s="2107"/>
      <c r="F35" s="2088"/>
      <c r="G35" s="2106"/>
      <c r="H35" s="2108"/>
      <c r="I35" s="2088"/>
      <c r="J35" s="2088"/>
      <c r="K35" s="2088"/>
      <c r="L35" s="2088"/>
      <c r="M35" s="2088"/>
      <c r="N35" s="2106"/>
      <c r="O35" s="463">
        <f>SUM(C35:N35)</f>
        <v>0</v>
      </c>
    </row>
    <row r="36" spans="1:15" ht="11.25" customHeight="1" x14ac:dyDescent="0.25">
      <c r="A36" s="143" t="s">
        <v>944</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943</v>
      </c>
      <c r="B38" s="60">
        <v>2</v>
      </c>
      <c r="C38" s="96"/>
      <c r="D38" s="95"/>
      <c r="E38" s="98"/>
      <c r="F38" s="96"/>
      <c r="G38" s="97"/>
      <c r="H38" s="95"/>
      <c r="I38" s="96"/>
      <c r="J38" s="96"/>
      <c r="K38" s="96"/>
      <c r="L38" s="96"/>
      <c r="M38" s="96"/>
      <c r="N38" s="97"/>
      <c r="O38" s="463"/>
    </row>
    <row r="39" spans="1:15" ht="11.25" customHeight="1" x14ac:dyDescent="0.25">
      <c r="A39" s="2445" t="s">
        <v>378</v>
      </c>
      <c r="B39" s="60"/>
      <c r="C39" s="2088"/>
      <c r="D39" s="2108"/>
      <c r="E39" s="2107"/>
      <c r="F39" s="2088"/>
      <c r="G39" s="2106"/>
      <c r="H39" s="2108"/>
      <c r="I39" s="2088"/>
      <c r="J39" s="2088"/>
      <c r="K39" s="2088"/>
      <c r="L39" s="2088"/>
      <c r="M39" s="2088"/>
      <c r="N39" s="2106"/>
      <c r="O39" s="463">
        <f>SUM(C39:N39)</f>
        <v>0</v>
      </c>
    </row>
    <row r="40" spans="1:15" ht="11.25" customHeight="1" x14ac:dyDescent="0.25">
      <c r="A40" s="2445" t="s">
        <v>379</v>
      </c>
      <c r="B40" s="60"/>
      <c r="C40" s="2088"/>
      <c r="D40" s="2108"/>
      <c r="E40" s="2107"/>
      <c r="F40" s="2088"/>
      <c r="G40" s="2106"/>
      <c r="H40" s="2108"/>
      <c r="I40" s="2088"/>
      <c r="J40" s="2088"/>
      <c r="K40" s="2088"/>
      <c r="L40" s="2088"/>
      <c r="M40" s="2088"/>
      <c r="N40" s="2106"/>
      <c r="O40" s="463">
        <f>SUM(C40:N40)</f>
        <v>0</v>
      </c>
    </row>
    <row r="41" spans="1:15" ht="11.25" customHeight="1" x14ac:dyDescent="0.25">
      <c r="A41" s="2445" t="s">
        <v>380</v>
      </c>
      <c r="B41" s="60"/>
      <c r="C41" s="2088"/>
      <c r="D41" s="2108"/>
      <c r="E41" s="2107"/>
      <c r="F41" s="2088"/>
      <c r="G41" s="2106"/>
      <c r="H41" s="2108"/>
      <c r="I41" s="2088"/>
      <c r="J41" s="2088"/>
      <c r="K41" s="2088"/>
      <c r="L41" s="2088"/>
      <c r="M41" s="2088"/>
      <c r="N41" s="2106"/>
      <c r="O41" s="463">
        <f>SUM(C41:N41)</f>
        <v>0</v>
      </c>
    </row>
    <row r="42" spans="1:15" ht="11.25" customHeight="1" x14ac:dyDescent="0.25">
      <c r="A42" s="143" t="s">
        <v>1369</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1379</v>
      </c>
      <c r="B47" s="897"/>
      <c r="C47" s="900"/>
      <c r="D47" s="901"/>
      <c r="E47" s="901"/>
      <c r="F47" s="901"/>
      <c r="G47" s="901"/>
    </row>
    <row r="48" spans="1:15" ht="24.75" customHeight="1" x14ac:dyDescent="0.25">
      <c r="A48" s="2734" t="s">
        <v>644</v>
      </c>
      <c r="B48" s="2735"/>
      <c r="C48" s="2735"/>
      <c r="D48" s="2735"/>
      <c r="E48" s="2735"/>
      <c r="F48" s="2735"/>
      <c r="G48" s="2735"/>
      <c r="H48" s="2735"/>
      <c r="I48" s="2735"/>
      <c r="J48" s="2735"/>
      <c r="K48" s="2735"/>
      <c r="L48" s="2735"/>
      <c r="M48" s="2735"/>
      <c r="N48" s="2735"/>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76" activePane="bottomRight" state="frozen"/>
      <selection pane="topRight"/>
      <selection pane="bottomLeft"/>
      <selection pane="bottomRight" activeCell="N100" sqref="N10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LIM471 Ephraim Mogale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1181</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929</v>
      </c>
      <c r="B6" s="60"/>
      <c r="C6" s="271">
        <f t="shared" ref="C6:K6" si="0">C7+C10+C14+C18+C21</f>
        <v>25941666</v>
      </c>
      <c r="D6" s="271">
        <f t="shared" si="0"/>
        <v>29194043.630000003</v>
      </c>
      <c r="E6" s="223">
        <f t="shared" si="0"/>
        <v>44858203</v>
      </c>
      <c r="F6" s="272">
        <f t="shared" si="0"/>
        <v>54205000</v>
      </c>
      <c r="G6" s="271">
        <f t="shared" si="0"/>
        <v>57717192</v>
      </c>
      <c r="H6" s="273">
        <f t="shared" si="0"/>
        <v>57717192</v>
      </c>
      <c r="I6" s="272">
        <f t="shared" si="0"/>
        <v>32520000</v>
      </c>
      <c r="J6" s="271">
        <f t="shared" si="0"/>
        <v>34818180</v>
      </c>
      <c r="K6" s="223">
        <f t="shared" si="0"/>
        <v>37664531</v>
      </c>
      <c r="L6" s="1408"/>
    </row>
    <row r="7" spans="1:12" s="1385" customFormat="1" ht="13.5" x14ac:dyDescent="0.25">
      <c r="A7" s="128" t="s">
        <v>510</v>
      </c>
      <c r="B7" s="60"/>
      <c r="C7" s="970">
        <f>SUM(C8:C9)</f>
        <v>16900000</v>
      </c>
      <c r="D7" s="970">
        <f t="shared" ref="D7:K7" si="1">SUM(D8:D9)</f>
        <v>27719629.100000001</v>
      </c>
      <c r="E7" s="1276">
        <f t="shared" si="1"/>
        <v>28278203</v>
      </c>
      <c r="F7" s="971">
        <f t="shared" si="1"/>
        <v>52805000</v>
      </c>
      <c r="G7" s="970">
        <f t="shared" si="1"/>
        <v>55445000</v>
      </c>
      <c r="H7" s="1007">
        <f t="shared" si="1"/>
        <v>55445000</v>
      </c>
      <c r="I7" s="1277">
        <f t="shared" si="1"/>
        <v>27860000</v>
      </c>
      <c r="J7" s="970">
        <f t="shared" si="1"/>
        <v>29878580</v>
      </c>
      <c r="K7" s="1007">
        <f t="shared" si="1"/>
        <v>32428555</v>
      </c>
      <c r="L7" s="247"/>
    </row>
    <row r="8" spans="1:12" s="1385" customFormat="1" ht="13.5" x14ac:dyDescent="0.25">
      <c r="A8" s="1147" t="s">
        <v>511</v>
      </c>
      <c r="B8" s="60"/>
      <c r="C8" s="2088">
        <v>16900000</v>
      </c>
      <c r="D8" s="2088">
        <v>27719629.100000001</v>
      </c>
      <c r="E8" s="2106">
        <v>28278203</v>
      </c>
      <c r="F8" s="2107">
        <f>8500000+5000000+7000000+1500000+14000000+6805000+5000000+5000000</f>
        <v>52805000</v>
      </c>
      <c r="G8" s="2088">
        <f>8500000+1700000+12500000+1490000+11360000+6805000+5710000+7380000</f>
        <v>55445000</v>
      </c>
      <c r="H8" s="2088">
        <f>8500000+1700000+12500000+1490000+11360000+6805000+5710000+7380000</f>
        <v>55445000</v>
      </c>
      <c r="I8" s="2107">
        <f>160000+2500000+7000000+7000000+2000000+1000000+1200000+7000000</f>
        <v>27860000</v>
      </c>
      <c r="J8" s="2088">
        <f>169600+2650000+7420000+7420000+2120000+1060000+1618980+7420000</f>
        <v>29878580</v>
      </c>
      <c r="K8" s="2106">
        <f>179776+2809000+7865200+7865200+2247200+1123600+2473379+7865200</f>
        <v>32428555</v>
      </c>
      <c r="L8" s="1408"/>
    </row>
    <row r="9" spans="1:12" s="1385" customFormat="1" ht="13.5" x14ac:dyDescent="0.25">
      <c r="A9" s="1147" t="s">
        <v>512</v>
      </c>
      <c r="B9" s="60"/>
      <c r="C9" s="2088"/>
      <c r="D9" s="2088"/>
      <c r="E9" s="2106"/>
      <c r="F9" s="2107"/>
      <c r="G9" s="2088"/>
      <c r="H9" s="2108"/>
      <c r="I9" s="2107"/>
      <c r="J9" s="2088"/>
      <c r="K9" s="2106"/>
      <c r="L9" s="1409"/>
    </row>
    <row r="10" spans="1:12" s="1385" customFormat="1" ht="13.5" x14ac:dyDescent="0.25">
      <c r="A10" s="128" t="s">
        <v>21</v>
      </c>
      <c r="B10" s="60"/>
      <c r="C10" s="923">
        <f>SUM(C11:C13)</f>
        <v>2400000</v>
      </c>
      <c r="D10" s="923">
        <f t="shared" ref="D10:K10" si="2">SUM(D11:D13)</f>
        <v>1084847.23</v>
      </c>
      <c r="E10" s="1278">
        <f t="shared" si="2"/>
        <v>13330000</v>
      </c>
      <c r="F10" s="927">
        <f t="shared" si="2"/>
        <v>1400000</v>
      </c>
      <c r="G10" s="923">
        <f t="shared" si="2"/>
        <v>2272192</v>
      </c>
      <c r="H10" s="1009">
        <f t="shared" si="2"/>
        <v>2272192</v>
      </c>
      <c r="I10" s="1279">
        <f t="shared" si="2"/>
        <v>1830000</v>
      </c>
      <c r="J10" s="923">
        <f t="shared" si="2"/>
        <v>1939800</v>
      </c>
      <c r="K10" s="1009">
        <f t="shared" si="2"/>
        <v>2056188</v>
      </c>
      <c r="L10" s="1409"/>
    </row>
    <row r="11" spans="1:12" s="1385" customFormat="1" ht="13.5" x14ac:dyDescent="0.25">
      <c r="A11" s="1147" t="s">
        <v>22</v>
      </c>
      <c r="B11" s="60"/>
      <c r="C11" s="2088"/>
      <c r="D11" s="2088"/>
      <c r="E11" s="2089"/>
      <c r="F11" s="2090"/>
      <c r="G11" s="2088"/>
      <c r="H11" s="2091"/>
      <c r="I11" s="2092"/>
      <c r="J11" s="2088"/>
      <c r="K11" s="2091"/>
      <c r="L11" s="1409"/>
    </row>
    <row r="12" spans="1:12" s="1385" customFormat="1" ht="13.5" x14ac:dyDescent="0.25">
      <c r="A12" s="1147" t="s">
        <v>23</v>
      </c>
      <c r="B12" s="60"/>
      <c r="C12" s="2088">
        <v>2400000</v>
      </c>
      <c r="D12" s="2088">
        <v>1084847.23</v>
      </c>
      <c r="E12" s="2089">
        <v>13330000</v>
      </c>
      <c r="F12" s="2090"/>
      <c r="G12" s="2088"/>
      <c r="H12" s="2091"/>
      <c r="I12" s="2092">
        <f>1200000</f>
        <v>1200000</v>
      </c>
      <c r="J12" s="2088">
        <f>1272000</f>
        <v>1272000</v>
      </c>
      <c r="K12" s="2091">
        <f>1348320</f>
        <v>1348320</v>
      </c>
      <c r="L12" s="1409"/>
    </row>
    <row r="13" spans="1:12" s="1385" customFormat="1" ht="13.5" x14ac:dyDescent="0.25">
      <c r="A13" s="1147" t="s">
        <v>137</v>
      </c>
      <c r="B13" s="60"/>
      <c r="C13" s="2088"/>
      <c r="D13" s="2088"/>
      <c r="E13" s="2089"/>
      <c r="F13" s="2090">
        <f>250000+250000+300000+300000+300000</f>
        <v>1400000</v>
      </c>
      <c r="G13" s="2088">
        <f>24717+560428+794932+865228+26887</f>
        <v>2272192</v>
      </c>
      <c r="H13" s="2088">
        <f>24717+560428+794932+865228+26887</f>
        <v>2272192</v>
      </c>
      <c r="I13" s="2092">
        <f>200000+430000</f>
        <v>630000</v>
      </c>
      <c r="J13" s="2088">
        <f>212000+455800</f>
        <v>667800</v>
      </c>
      <c r="K13" s="2091">
        <f>224720+483148</f>
        <v>707868</v>
      </c>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8"/>
      <c r="D15" s="2088"/>
      <c r="E15" s="2089"/>
      <c r="F15" s="2090"/>
      <c r="G15" s="2088"/>
      <c r="H15" s="2091"/>
      <c r="I15" s="2092"/>
      <c r="J15" s="2088"/>
      <c r="K15" s="2091"/>
      <c r="L15" s="1409"/>
    </row>
    <row r="16" spans="1:12" s="1385" customFormat="1" ht="13.5" x14ac:dyDescent="0.25">
      <c r="A16" s="1147" t="s">
        <v>26</v>
      </c>
      <c r="B16" s="60"/>
      <c r="C16" s="2088"/>
      <c r="D16" s="2088"/>
      <c r="E16" s="2089"/>
      <c r="F16" s="2090"/>
      <c r="G16" s="2088"/>
      <c r="H16" s="2091"/>
      <c r="I16" s="2092"/>
      <c r="J16" s="2088"/>
      <c r="K16" s="2091"/>
      <c r="L16" s="1409"/>
    </row>
    <row r="17" spans="1:12" s="1385" customFormat="1" ht="13.5" x14ac:dyDescent="0.25">
      <c r="A17" s="1147" t="s">
        <v>27</v>
      </c>
      <c r="B17" s="60"/>
      <c r="C17" s="2088"/>
      <c r="D17" s="2088"/>
      <c r="E17" s="2089"/>
      <c r="F17" s="2090"/>
      <c r="G17" s="2088"/>
      <c r="H17" s="2091"/>
      <c r="I17" s="2092"/>
      <c r="J17" s="2088"/>
      <c r="K17" s="2091"/>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8"/>
      <c r="D19" s="2088"/>
      <c r="E19" s="2089"/>
      <c r="F19" s="2090"/>
      <c r="G19" s="2088"/>
      <c r="H19" s="2091"/>
      <c r="I19" s="2092"/>
      <c r="J19" s="2088"/>
      <c r="K19" s="2091"/>
      <c r="L19" s="1409"/>
    </row>
    <row r="20" spans="1:12" s="1385" customFormat="1" ht="13.5" x14ac:dyDescent="0.25">
      <c r="A20" s="1147" t="s">
        <v>29</v>
      </c>
      <c r="B20" s="60"/>
      <c r="C20" s="2088"/>
      <c r="D20" s="2088"/>
      <c r="E20" s="2089"/>
      <c r="F20" s="2090"/>
      <c r="G20" s="2088"/>
      <c r="H20" s="2091"/>
      <c r="I20" s="2092"/>
      <c r="J20" s="2088"/>
      <c r="K20" s="2091"/>
      <c r="L20" s="1409"/>
    </row>
    <row r="21" spans="1:12" s="1385" customFormat="1" ht="13.5" x14ac:dyDescent="0.25">
      <c r="A21" s="128" t="s">
        <v>30</v>
      </c>
      <c r="B21" s="60"/>
      <c r="C21" s="923">
        <f>SUM(C22:C25)</f>
        <v>6641666</v>
      </c>
      <c r="D21" s="923">
        <f t="shared" ref="D21:K21" si="5">SUM(D22:D25)</f>
        <v>389567.3</v>
      </c>
      <c r="E21" s="923">
        <f t="shared" si="5"/>
        <v>3250000</v>
      </c>
      <c r="F21" s="927">
        <f t="shared" si="5"/>
        <v>0</v>
      </c>
      <c r="G21" s="923">
        <f t="shared" si="5"/>
        <v>0</v>
      </c>
      <c r="H21" s="1009">
        <f t="shared" si="5"/>
        <v>0</v>
      </c>
      <c r="I21" s="1279">
        <f t="shared" si="5"/>
        <v>2830000</v>
      </c>
      <c r="J21" s="923">
        <f t="shared" si="5"/>
        <v>2999800</v>
      </c>
      <c r="K21" s="1009">
        <f t="shared" si="5"/>
        <v>3179788</v>
      </c>
      <c r="L21" s="1409"/>
    </row>
    <row r="22" spans="1:12" s="1385" customFormat="1" ht="13.5" x14ac:dyDescent="0.25">
      <c r="A22" s="1147" t="s">
        <v>1037</v>
      </c>
      <c r="B22" s="60"/>
      <c r="C22" s="2088">
        <v>850000</v>
      </c>
      <c r="D22" s="2088">
        <v>389567.3</v>
      </c>
      <c r="E22" s="2108">
        <v>3250000</v>
      </c>
      <c r="F22" s="2107"/>
      <c r="G22" s="2088"/>
      <c r="H22" s="2108"/>
      <c r="I22" s="2107"/>
      <c r="J22" s="2088"/>
      <c r="K22" s="2091"/>
      <c r="L22" s="1408"/>
    </row>
    <row r="23" spans="1:12" s="1385" customFormat="1" ht="13.5" x14ac:dyDescent="0.25">
      <c r="A23" s="1147" t="s">
        <v>304</v>
      </c>
      <c r="B23" s="60">
        <v>2</v>
      </c>
      <c r="C23" s="2088"/>
      <c r="D23" s="2088"/>
      <c r="E23" s="2106"/>
      <c r="F23" s="2107"/>
      <c r="G23" s="2088"/>
      <c r="H23" s="2108"/>
      <c r="I23" s="2107"/>
      <c r="J23" s="2088"/>
      <c r="K23" s="2091"/>
      <c r="L23" s="1409"/>
    </row>
    <row r="24" spans="1:12" s="1385" customFormat="1" ht="13.5" x14ac:dyDescent="0.25">
      <c r="A24" s="1147" t="s">
        <v>138</v>
      </c>
      <c r="B24" s="60"/>
      <c r="C24" s="2088"/>
      <c r="D24" s="2088"/>
      <c r="E24" s="2106"/>
      <c r="F24" s="2107"/>
      <c r="G24" s="2088"/>
      <c r="H24" s="2108"/>
      <c r="I24" s="2107"/>
      <c r="J24" s="2088"/>
      <c r="K24" s="2106"/>
      <c r="L24" s="1409"/>
    </row>
    <row r="25" spans="1:12" s="1385" customFormat="1" ht="13.5" x14ac:dyDescent="0.25">
      <c r="A25" s="1147" t="s">
        <v>276</v>
      </c>
      <c r="B25" s="60">
        <v>3</v>
      </c>
      <c r="C25" s="2088">
        <v>5791666</v>
      </c>
      <c r="D25" s="2088"/>
      <c r="E25" s="2106"/>
      <c r="F25" s="2107"/>
      <c r="G25" s="2088"/>
      <c r="H25" s="2108"/>
      <c r="I25" s="2107">
        <f>500000+930000+1400000</f>
        <v>2830000</v>
      </c>
      <c r="J25" s="2088">
        <f>530000+985800+1484000</f>
        <v>2999800</v>
      </c>
      <c r="K25" s="2106">
        <f>561800+1044948+1573040</f>
        <v>3179788</v>
      </c>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1498</v>
      </c>
      <c r="B27" s="60"/>
      <c r="C27" s="96">
        <f>SUM(C28:C41)</f>
        <v>1210000</v>
      </c>
      <c r="D27" s="96">
        <f t="shared" ref="D27:K27" si="6">SUM(D28:D41)</f>
        <v>0</v>
      </c>
      <c r="E27" s="97">
        <f>SUM(E28:E41)</f>
        <v>1650000</v>
      </c>
      <c r="F27" s="98">
        <f t="shared" si="6"/>
        <v>460000</v>
      </c>
      <c r="G27" s="96">
        <f t="shared" si="6"/>
        <v>448344</v>
      </c>
      <c r="H27" s="95">
        <f t="shared" si="6"/>
        <v>448344</v>
      </c>
      <c r="I27" s="98">
        <f t="shared" si="6"/>
        <v>1900000</v>
      </c>
      <c r="J27" s="96">
        <f t="shared" si="6"/>
        <v>2014000</v>
      </c>
      <c r="K27" s="97">
        <f t="shared" si="6"/>
        <v>2134840</v>
      </c>
      <c r="L27" s="247"/>
    </row>
    <row r="28" spans="1:12" ht="11.25" customHeight="1" x14ac:dyDescent="0.25">
      <c r="A28" s="128" t="s">
        <v>2</v>
      </c>
      <c r="B28" s="60"/>
      <c r="C28" s="2093"/>
      <c r="D28" s="2093"/>
      <c r="E28" s="2387"/>
      <c r="F28" s="2464"/>
      <c r="G28" s="2093"/>
      <c r="H28" s="2484"/>
      <c r="I28" s="2464"/>
      <c r="J28" s="2093"/>
      <c r="K28" s="2387"/>
      <c r="L28" s="1409"/>
    </row>
    <row r="29" spans="1:12" ht="11.25" customHeight="1" x14ac:dyDescent="0.25">
      <c r="A29" s="128" t="s">
        <v>1518</v>
      </c>
      <c r="B29" s="60"/>
      <c r="C29" s="2088"/>
      <c r="D29" s="2088"/>
      <c r="E29" s="2106"/>
      <c r="F29" s="2107"/>
      <c r="G29" s="2088"/>
      <c r="H29" s="2108"/>
      <c r="I29" s="2107">
        <f>250000+1200000</f>
        <v>1450000</v>
      </c>
      <c r="J29" s="2088">
        <f>265000+1272000</f>
        <v>1537000</v>
      </c>
      <c r="K29" s="2106">
        <f>280900+1348320</f>
        <v>1629220</v>
      </c>
      <c r="L29" s="1409"/>
    </row>
    <row r="30" spans="1:12" ht="11.25" customHeight="1" x14ac:dyDescent="0.25">
      <c r="A30" s="128" t="s">
        <v>480</v>
      </c>
      <c r="B30" s="60"/>
      <c r="C30" s="2088"/>
      <c r="D30" s="2088"/>
      <c r="E30" s="2106"/>
      <c r="F30" s="2107"/>
      <c r="G30" s="2088"/>
      <c r="H30" s="2108"/>
      <c r="I30" s="2107"/>
      <c r="J30" s="2088"/>
      <c r="K30" s="2106"/>
      <c r="L30" s="1409"/>
    </row>
    <row r="31" spans="1:12" ht="11.25" customHeight="1" x14ac:dyDescent="0.25">
      <c r="A31" s="128" t="s">
        <v>1</v>
      </c>
      <c r="B31" s="60"/>
      <c r="C31" s="2088"/>
      <c r="D31" s="2088"/>
      <c r="E31" s="2106"/>
      <c r="F31" s="2107"/>
      <c r="G31" s="2088"/>
      <c r="H31" s="2108"/>
      <c r="I31" s="2107"/>
      <c r="J31" s="2088"/>
      <c r="K31" s="2106"/>
      <c r="L31" s="1409"/>
    </row>
    <row r="32" spans="1:12" ht="11.25" customHeight="1" x14ac:dyDescent="0.25">
      <c r="A32" s="128" t="s">
        <v>323</v>
      </c>
      <c r="B32" s="60"/>
      <c r="C32" s="2088"/>
      <c r="D32" s="2088"/>
      <c r="E32" s="2106"/>
      <c r="F32" s="2107"/>
      <c r="G32" s="2088"/>
      <c r="H32" s="2108"/>
      <c r="I32" s="2107"/>
      <c r="J32" s="2088"/>
      <c r="K32" s="2106"/>
      <c r="L32" s="1409"/>
    </row>
    <row r="33" spans="1:15" ht="11.25" customHeight="1" x14ac:dyDescent="0.25">
      <c r="A33" s="128" t="s">
        <v>0</v>
      </c>
      <c r="B33" s="60"/>
      <c r="C33" s="2088"/>
      <c r="D33" s="2088"/>
      <c r="E33" s="2106"/>
      <c r="F33" s="2107"/>
      <c r="G33" s="2088"/>
      <c r="H33" s="2108"/>
      <c r="I33" s="2107"/>
      <c r="J33" s="2088"/>
      <c r="K33" s="2106"/>
      <c r="L33" s="1409"/>
    </row>
    <row r="34" spans="1:15" ht="11.25" customHeight="1" x14ac:dyDescent="0.25">
      <c r="A34" s="128" t="s">
        <v>1519</v>
      </c>
      <c r="B34" s="60"/>
      <c r="C34" s="2088"/>
      <c r="D34" s="2088"/>
      <c r="E34" s="2106"/>
      <c r="F34" s="2107"/>
      <c r="G34" s="2088"/>
      <c r="H34" s="2108"/>
      <c r="I34" s="2107"/>
      <c r="J34" s="2088"/>
      <c r="K34" s="2106"/>
      <c r="L34" s="1409"/>
    </row>
    <row r="35" spans="1:15" ht="11.25" customHeight="1" x14ac:dyDescent="0.25">
      <c r="A35" s="128" t="s">
        <v>914</v>
      </c>
      <c r="B35" s="60"/>
      <c r="C35" s="2088"/>
      <c r="D35" s="2088"/>
      <c r="E35" s="2106"/>
      <c r="F35" s="2107"/>
      <c r="G35" s="2088"/>
      <c r="H35" s="2108"/>
      <c r="I35" s="2107"/>
      <c r="J35" s="2088"/>
      <c r="K35" s="2106"/>
      <c r="L35" s="1409"/>
    </row>
    <row r="36" spans="1:15" ht="11.25" customHeight="1" x14ac:dyDescent="0.25">
      <c r="A36" s="128" t="s">
        <v>1458</v>
      </c>
      <c r="B36" s="60">
        <v>7</v>
      </c>
      <c r="C36" s="2088"/>
      <c r="D36" s="2088"/>
      <c r="E36" s="2106"/>
      <c r="F36" s="2107"/>
      <c r="G36" s="2088"/>
      <c r="H36" s="2108"/>
      <c r="I36" s="2107"/>
      <c r="J36" s="2088"/>
      <c r="K36" s="2106"/>
      <c r="L36" s="1409"/>
    </row>
    <row r="37" spans="1:15" ht="11.25" customHeight="1" x14ac:dyDescent="0.25">
      <c r="A37" s="128" t="s">
        <v>1232</v>
      </c>
      <c r="B37" s="60"/>
      <c r="C37" s="2088"/>
      <c r="D37" s="2088"/>
      <c r="E37" s="2106"/>
      <c r="F37" s="2107"/>
      <c r="G37" s="2088"/>
      <c r="H37" s="2108"/>
      <c r="I37" s="2107"/>
      <c r="J37" s="2088"/>
      <c r="K37" s="2106"/>
      <c r="L37" s="1409"/>
      <c r="O37" s="247"/>
    </row>
    <row r="38" spans="1:15" ht="11.25" customHeight="1" x14ac:dyDescent="0.25">
      <c r="A38" s="128" t="s">
        <v>681</v>
      </c>
      <c r="B38" s="60"/>
      <c r="C38" s="2088"/>
      <c r="D38" s="2088"/>
      <c r="E38" s="2106"/>
      <c r="F38" s="2107"/>
      <c r="G38" s="2088"/>
      <c r="H38" s="2108"/>
      <c r="I38" s="2107"/>
      <c r="J38" s="2088"/>
      <c r="K38" s="2106"/>
      <c r="L38" s="1409"/>
    </row>
    <row r="39" spans="1:15" ht="11.25" customHeight="1" x14ac:dyDescent="0.25">
      <c r="A39" s="128" t="s">
        <v>478</v>
      </c>
      <c r="B39" s="60"/>
      <c r="C39" s="2088"/>
      <c r="D39" s="2088"/>
      <c r="E39" s="2106"/>
      <c r="F39" s="2107"/>
      <c r="G39" s="2088"/>
      <c r="H39" s="2108"/>
      <c r="I39" s="2107"/>
      <c r="J39" s="2088"/>
      <c r="K39" s="2106"/>
      <c r="L39" s="1409"/>
    </row>
    <row r="40" spans="1:15" ht="11.25" customHeight="1" x14ac:dyDescent="0.25">
      <c r="A40" s="128" t="s">
        <v>31</v>
      </c>
      <c r="B40" s="60">
        <v>8</v>
      </c>
      <c r="C40" s="2088"/>
      <c r="D40" s="2088"/>
      <c r="E40" s="2106"/>
      <c r="F40" s="2107"/>
      <c r="G40" s="2088"/>
      <c r="H40" s="2108"/>
      <c r="I40" s="2107"/>
      <c r="J40" s="2088"/>
      <c r="K40" s="2106"/>
      <c r="L40" s="247"/>
    </row>
    <row r="41" spans="1:15" ht="11.25" customHeight="1" x14ac:dyDescent="0.25">
      <c r="A41" s="128" t="s">
        <v>276</v>
      </c>
      <c r="B41" s="60"/>
      <c r="C41" s="2127">
        <v>1210000</v>
      </c>
      <c r="D41" s="2088"/>
      <c r="E41" s="2127">
        <v>1650000</v>
      </c>
      <c r="F41" s="2485">
        <f>100000+120000+240000</f>
        <v>460000</v>
      </c>
      <c r="G41" s="2127">
        <f>88344+120000+240000</f>
        <v>448344</v>
      </c>
      <c r="H41" s="2127">
        <f>88344+120000+240000</f>
        <v>448344</v>
      </c>
      <c r="I41" s="2485">
        <f>250000+200000</f>
        <v>450000</v>
      </c>
      <c r="J41" s="2127">
        <f>265000+212000</f>
        <v>477000</v>
      </c>
      <c r="K41" s="2130">
        <f>280900+224720</f>
        <v>505620</v>
      </c>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917</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1205</v>
      </c>
      <c r="B44" s="60"/>
      <c r="C44" s="2098"/>
      <c r="D44" s="2098"/>
      <c r="E44" s="2487"/>
      <c r="F44" s="2488"/>
      <c r="G44" s="2098"/>
      <c r="H44" s="2489"/>
      <c r="I44" s="2488"/>
      <c r="J44" s="2098"/>
      <c r="K44" s="2487"/>
      <c r="L44" s="247"/>
    </row>
    <row r="45" spans="1:15" ht="11.25" customHeight="1" x14ac:dyDescent="0.25">
      <c r="A45" s="132" t="s">
        <v>276</v>
      </c>
      <c r="B45" s="60">
        <v>9</v>
      </c>
      <c r="C45" s="2125"/>
      <c r="D45" s="2125"/>
      <c r="E45" s="2490"/>
      <c r="F45" s="2491"/>
      <c r="G45" s="2125"/>
      <c r="H45" s="2492"/>
      <c r="I45" s="2491"/>
      <c r="J45" s="2125"/>
      <c r="K45" s="2490"/>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918</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3"/>
      <c r="D48" s="2093"/>
      <c r="E48" s="2387"/>
      <c r="F48" s="2464"/>
      <c r="G48" s="2093"/>
      <c r="H48" s="2484"/>
      <c r="I48" s="2464"/>
      <c r="J48" s="2093"/>
      <c r="K48" s="2387"/>
      <c r="L48" s="1409"/>
    </row>
    <row r="49" spans="1:12" ht="11.25" customHeight="1" x14ac:dyDescent="0.25">
      <c r="A49" s="128" t="s">
        <v>276</v>
      </c>
      <c r="B49" s="60"/>
      <c r="C49" s="2127"/>
      <c r="D49" s="2127"/>
      <c r="E49" s="2130"/>
      <c r="F49" s="2485"/>
      <c r="G49" s="2127"/>
      <c r="H49" s="2486"/>
      <c r="I49" s="2485"/>
      <c r="J49" s="2127"/>
      <c r="K49" s="2130"/>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919</v>
      </c>
      <c r="B51" s="60"/>
      <c r="C51" s="96">
        <f>SUM(C52:C63)</f>
        <v>0</v>
      </c>
      <c r="D51" s="96">
        <f t="shared" ref="D51:K51" si="9">SUM(D52:D63)</f>
        <v>2354243.2599999998</v>
      </c>
      <c r="E51" s="97">
        <f t="shared" si="9"/>
        <v>0</v>
      </c>
      <c r="F51" s="98">
        <f t="shared" si="9"/>
        <v>4207712</v>
      </c>
      <c r="G51" s="96">
        <f t="shared" si="9"/>
        <v>3663419</v>
      </c>
      <c r="H51" s="95">
        <f t="shared" si="9"/>
        <v>3663419</v>
      </c>
      <c r="I51" s="98">
        <f t="shared" si="9"/>
        <v>8012357.5</v>
      </c>
      <c r="J51" s="96">
        <f t="shared" si="9"/>
        <v>7645098.9500000002</v>
      </c>
      <c r="K51" s="97">
        <f t="shared" si="9"/>
        <v>8103804.8899999997</v>
      </c>
      <c r="L51" s="247"/>
    </row>
    <row r="52" spans="1:12" ht="11.25" customHeight="1" x14ac:dyDescent="0.25">
      <c r="A52" s="132" t="s">
        <v>591</v>
      </c>
      <c r="B52" s="60"/>
      <c r="C52" s="2093"/>
      <c r="D52" s="2093"/>
      <c r="E52" s="2387"/>
      <c r="F52" s="2464">
        <f>350000+650000</f>
        <v>1000000</v>
      </c>
      <c r="G52" s="2093">
        <f>305706+650000</f>
        <v>955706</v>
      </c>
      <c r="H52" s="2093">
        <f>305706+650000</f>
        <v>955706</v>
      </c>
      <c r="I52" s="2464">
        <f>500000+800000+400000</f>
        <v>1700000</v>
      </c>
      <c r="J52" s="2093">
        <f>530000+424000</f>
        <v>954000</v>
      </c>
      <c r="K52" s="2387">
        <f>561800+449440</f>
        <v>1011240</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1193</v>
      </c>
      <c r="B54" s="60"/>
      <c r="C54" s="2088"/>
      <c r="D54" s="2088"/>
      <c r="E54" s="2106"/>
      <c r="F54" s="2107"/>
      <c r="G54" s="2088"/>
      <c r="H54" s="2108"/>
      <c r="I54" s="2107"/>
      <c r="J54" s="2088"/>
      <c r="K54" s="2106"/>
      <c r="L54" s="1409"/>
    </row>
    <row r="55" spans="1:12" ht="11.25" customHeight="1" x14ac:dyDescent="0.25">
      <c r="A55" s="132" t="s">
        <v>592</v>
      </c>
      <c r="B55" s="60"/>
      <c r="C55" s="2088"/>
      <c r="D55" s="2088"/>
      <c r="E55" s="2106"/>
      <c r="F55" s="2107"/>
      <c r="G55" s="2088"/>
      <c r="H55" s="2108"/>
      <c r="I55" s="2107"/>
      <c r="J55" s="2088"/>
      <c r="K55" s="2106"/>
      <c r="L55" s="1409"/>
    </row>
    <row r="56" spans="1:12" ht="11.25" customHeight="1" x14ac:dyDescent="0.25">
      <c r="A56" s="132" t="s">
        <v>593</v>
      </c>
      <c r="B56" s="60"/>
      <c r="C56" s="2088"/>
      <c r="D56" s="2088"/>
      <c r="E56" s="2106"/>
      <c r="F56" s="2107">
        <f>700000</f>
        <v>700000</v>
      </c>
      <c r="G56" s="2088">
        <v>200000</v>
      </c>
      <c r="H56" s="2088">
        <v>200000</v>
      </c>
      <c r="I56" s="2107"/>
      <c r="J56" s="2088"/>
      <c r="K56" s="2106"/>
      <c r="L56" s="1409"/>
    </row>
    <row r="57" spans="1:12" ht="11.25" customHeight="1" x14ac:dyDescent="0.25">
      <c r="A57" s="132" t="s">
        <v>1194</v>
      </c>
      <c r="B57" s="60"/>
      <c r="C57" s="2088"/>
      <c r="D57" s="2088"/>
      <c r="E57" s="2106"/>
      <c r="F57" s="2107"/>
      <c r="G57" s="2088"/>
      <c r="H57" s="2108"/>
      <c r="I57" s="2107"/>
      <c r="J57" s="2088"/>
      <c r="K57" s="2106"/>
      <c r="L57" s="1409"/>
    </row>
    <row r="58" spans="1:12" ht="11.25" customHeight="1" x14ac:dyDescent="0.25">
      <c r="A58" s="132" t="s">
        <v>1195</v>
      </c>
      <c r="B58" s="60"/>
      <c r="C58" s="2088"/>
      <c r="D58" s="2088"/>
      <c r="E58" s="2106"/>
      <c r="F58" s="2107"/>
      <c r="G58" s="2088"/>
      <c r="H58" s="2108"/>
      <c r="I58" s="2107"/>
      <c r="J58" s="2088"/>
      <c r="K58" s="2106"/>
      <c r="L58" s="1408"/>
    </row>
    <row r="59" spans="1:12" ht="11.25" customHeight="1" x14ac:dyDescent="0.25">
      <c r="A59" s="132" t="s">
        <v>1456</v>
      </c>
      <c r="B59" s="60"/>
      <c r="C59" s="2088"/>
      <c r="D59" s="2088"/>
      <c r="E59" s="2106"/>
      <c r="F59" s="2107"/>
      <c r="G59" s="2088"/>
      <c r="H59" s="2108"/>
      <c r="I59" s="2107"/>
      <c r="J59" s="2088"/>
      <c r="K59" s="2106"/>
      <c r="L59" s="1409"/>
    </row>
    <row r="60" spans="1:12" ht="11.25" customHeight="1" x14ac:dyDescent="0.25">
      <c r="A60" s="132" t="s">
        <v>306</v>
      </c>
      <c r="B60" s="60"/>
      <c r="C60" s="2088"/>
      <c r="D60" s="2088"/>
      <c r="E60" s="2106"/>
      <c r="F60" s="2107"/>
      <c r="G60" s="2088"/>
      <c r="H60" s="2108"/>
      <c r="I60" s="2107"/>
      <c r="J60" s="2088"/>
      <c r="K60" s="2106"/>
      <c r="L60" s="1409"/>
    </row>
    <row r="61" spans="1:12" ht="11.25" customHeight="1" x14ac:dyDescent="0.25">
      <c r="A61" s="132" t="s">
        <v>305</v>
      </c>
      <c r="B61" s="60"/>
      <c r="C61" s="2088"/>
      <c r="D61" s="2088"/>
      <c r="E61" s="2106"/>
      <c r="F61" s="2107"/>
      <c r="G61" s="2088"/>
      <c r="H61" s="2108"/>
      <c r="I61" s="2107"/>
      <c r="J61" s="2088"/>
      <c r="K61" s="2106"/>
      <c r="L61" s="1409"/>
    </row>
    <row r="62" spans="1:12" ht="11.25" customHeight="1" x14ac:dyDescent="0.25">
      <c r="A62" s="132" t="s">
        <v>594</v>
      </c>
      <c r="B62" s="60"/>
      <c r="C62" s="2088"/>
      <c r="D62" s="2088"/>
      <c r="E62" s="2106"/>
      <c r="F62" s="2107"/>
      <c r="G62" s="2088"/>
      <c r="H62" s="2108"/>
      <c r="I62" s="2107"/>
      <c r="J62" s="2088"/>
      <c r="K62" s="2106"/>
      <c r="L62" s="1409"/>
    </row>
    <row r="63" spans="1:12" ht="11.25" customHeight="1" x14ac:dyDescent="0.25">
      <c r="A63" s="128" t="s">
        <v>276</v>
      </c>
      <c r="B63" s="60"/>
      <c r="C63" s="2127"/>
      <c r="D63" s="2127">
        <v>2354243.2599999998</v>
      </c>
      <c r="E63" s="2130"/>
      <c r="F63" s="2485">
        <f>407712+500000+1600000</f>
        <v>2507712</v>
      </c>
      <c r="G63" s="2485">
        <f>407713+500000+1600000</f>
        <v>2507713</v>
      </c>
      <c r="H63" s="2485">
        <f>407713+500000+1600000</f>
        <v>2507713</v>
      </c>
      <c r="I63" s="2485">
        <f>250000+500000+500000+190000+515357.5+1517000+460000+980000+400000+800000+200000</f>
        <v>6312357.5</v>
      </c>
      <c r="J63" s="2127">
        <f>265000+530000+530000+201400+546278.95+1608020+487600+1038800+424000+848000+212000</f>
        <v>6691098.9500000002</v>
      </c>
      <c r="K63" s="2130">
        <f>280900+561800+561800+213484+579055.69+1704501.2+516856+1101128+449440+898880+224720</f>
        <v>7092564.8899999997</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1467</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5" t="s">
        <v>1206</v>
      </c>
      <c r="B66" s="60"/>
      <c r="C66" s="2093"/>
      <c r="D66" s="2093"/>
      <c r="E66" s="2387"/>
      <c r="F66" s="2464"/>
      <c r="G66" s="2093"/>
      <c r="H66" s="2484"/>
      <c r="I66" s="2464"/>
      <c r="J66" s="2093"/>
      <c r="K66" s="2387"/>
      <c r="L66" s="247"/>
    </row>
    <row r="67" spans="1:12" ht="11.25" customHeight="1" x14ac:dyDescent="0.25">
      <c r="A67" s="2445"/>
      <c r="B67" s="60"/>
      <c r="C67" s="2127"/>
      <c r="D67" s="2127"/>
      <c r="E67" s="2130"/>
      <c r="F67" s="2485"/>
      <c r="G67" s="2127"/>
      <c r="H67" s="2486"/>
      <c r="I67" s="2485"/>
      <c r="J67" s="2127"/>
      <c r="K67" s="2130"/>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5" t="s">
        <v>1206</v>
      </c>
      <c r="B70" s="60"/>
      <c r="C70" s="2093"/>
      <c r="D70" s="2093"/>
      <c r="E70" s="2387"/>
      <c r="F70" s="2464"/>
      <c r="G70" s="2093"/>
      <c r="H70" s="2484"/>
      <c r="I70" s="2464"/>
      <c r="J70" s="2093"/>
      <c r="K70" s="2387"/>
      <c r="L70" s="247"/>
    </row>
    <row r="71" spans="1:12" ht="11.25" customHeight="1" x14ac:dyDescent="0.25">
      <c r="A71" s="2445"/>
      <c r="B71" s="60"/>
      <c r="C71" s="2127"/>
      <c r="D71" s="2127"/>
      <c r="E71" s="2130"/>
      <c r="F71" s="2485"/>
      <c r="G71" s="2127"/>
      <c r="H71" s="2486"/>
      <c r="I71" s="2485"/>
      <c r="J71" s="2127"/>
      <c r="K71" s="2130"/>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984000</v>
      </c>
      <c r="J73" s="81">
        <f t="shared" si="13"/>
        <v>1043040</v>
      </c>
      <c r="K73" s="82">
        <f t="shared" si="13"/>
        <v>1105622.3999999999</v>
      </c>
      <c r="L73" s="247"/>
    </row>
    <row r="74" spans="1:12" ht="11.25" customHeight="1" x14ac:dyDescent="0.25">
      <c r="A74" s="132" t="s">
        <v>925</v>
      </c>
      <c r="B74" s="60"/>
      <c r="C74" s="2093"/>
      <c r="D74" s="2093"/>
      <c r="E74" s="2387"/>
      <c r="F74" s="2464"/>
      <c r="G74" s="2093"/>
      <c r="H74" s="2484"/>
      <c r="I74" s="2464">
        <f>284000+700000</f>
        <v>984000</v>
      </c>
      <c r="J74" s="2093">
        <f>301040+742000</f>
        <v>1043040</v>
      </c>
      <c r="K74" s="2387">
        <f>319102.4+786520</f>
        <v>1105622.3999999999</v>
      </c>
      <c r="L74" s="247"/>
    </row>
    <row r="75" spans="1:12" ht="11.25" customHeight="1" x14ac:dyDescent="0.25">
      <c r="A75" s="2418" t="s">
        <v>579</v>
      </c>
      <c r="B75" s="60"/>
      <c r="C75" s="2127"/>
      <c r="D75" s="2127"/>
      <c r="E75" s="2130"/>
      <c r="F75" s="2485"/>
      <c r="G75" s="2127"/>
      <c r="H75" s="2486"/>
      <c r="I75" s="2485"/>
      <c r="J75" s="2127"/>
      <c r="K75" s="2130"/>
      <c r="L75" s="247"/>
    </row>
    <row r="76" spans="1:12" ht="5.0999999999999996" customHeight="1" x14ac:dyDescent="0.25">
      <c r="A76" s="151"/>
      <c r="B76" s="60"/>
      <c r="C76" s="96"/>
      <c r="D76" s="96"/>
      <c r="E76" s="97"/>
      <c r="F76" s="98"/>
      <c r="G76" s="96"/>
      <c r="H76" s="95"/>
      <c r="I76" s="98"/>
      <c r="J76" s="96"/>
      <c r="K76" s="97"/>
      <c r="L76" s="247"/>
    </row>
    <row r="77" spans="1:12" x14ac:dyDescent="0.25">
      <c r="A77" s="159" t="s">
        <v>1182</v>
      </c>
      <c r="B77" s="103">
        <v>1</v>
      </c>
      <c r="C77" s="108">
        <f t="shared" ref="C77:K77" si="14">C6+C27+C43+C47+C51+C73+C65+C69</f>
        <v>27151666</v>
      </c>
      <c r="D77" s="108">
        <f t="shared" si="14"/>
        <v>31548286.890000001</v>
      </c>
      <c r="E77" s="106">
        <f t="shared" si="14"/>
        <v>46508203</v>
      </c>
      <c r="F77" s="107">
        <f t="shared" si="14"/>
        <v>58872712</v>
      </c>
      <c r="G77" s="108">
        <f t="shared" si="14"/>
        <v>61828955</v>
      </c>
      <c r="H77" s="109">
        <f t="shared" si="14"/>
        <v>61828955</v>
      </c>
      <c r="I77" s="107">
        <f t="shared" si="14"/>
        <v>43416357.5</v>
      </c>
      <c r="J77" s="108">
        <f t="shared" si="14"/>
        <v>45520318.950000003</v>
      </c>
      <c r="K77" s="106">
        <f t="shared" si="14"/>
        <v>49008798.289999999</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1238</v>
      </c>
      <c r="B80" s="1415"/>
      <c r="C80" s="2090"/>
      <c r="D80" s="2088"/>
      <c r="E80" s="2091"/>
      <c r="F80" s="2090"/>
      <c r="G80" s="2088"/>
      <c r="H80" s="2091"/>
      <c r="I80" s="2090"/>
      <c r="J80" s="2088"/>
      <c r="K80" s="2091"/>
      <c r="L80" s="247"/>
    </row>
    <row r="81" spans="1:12" x14ac:dyDescent="0.25">
      <c r="A81" s="68" t="s">
        <v>1457</v>
      </c>
      <c r="B81" s="1415"/>
      <c r="C81" s="2090"/>
      <c r="D81" s="2088"/>
      <c r="E81" s="2091"/>
      <c r="F81" s="2090"/>
      <c r="G81" s="2088"/>
      <c r="H81" s="2091"/>
      <c r="I81" s="2090"/>
      <c r="J81" s="2088"/>
      <c r="K81" s="2091"/>
      <c r="L81" s="247"/>
    </row>
    <row r="82" spans="1:12" x14ac:dyDescent="0.25">
      <c r="A82" s="68" t="s">
        <v>1628</v>
      </c>
      <c r="B82" s="1415"/>
      <c r="C82" s="2090"/>
      <c r="D82" s="2088"/>
      <c r="E82" s="2091"/>
      <c r="F82" s="2090"/>
      <c r="G82" s="2088"/>
      <c r="H82" s="2091"/>
      <c r="I82" s="2090"/>
      <c r="J82" s="2088"/>
      <c r="K82" s="2091"/>
      <c r="L82" s="247"/>
    </row>
    <row r="83" spans="1:12" x14ac:dyDescent="0.25">
      <c r="A83" s="1172" t="s">
        <v>1629</v>
      </c>
      <c r="B83" s="1416"/>
      <c r="C83" s="2168"/>
      <c r="D83" s="2164"/>
      <c r="E83" s="2493"/>
      <c r="F83" s="2168"/>
      <c r="G83" s="2164"/>
      <c r="H83" s="2493"/>
      <c r="I83" s="2168"/>
      <c r="J83" s="2164"/>
      <c r="K83" s="2493"/>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1183</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867</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1586</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1280</v>
      </c>
      <c r="B92" s="897"/>
      <c r="C92" s="900"/>
      <c r="D92" s="900"/>
      <c r="E92" s="901"/>
      <c r="F92" s="901"/>
      <c r="G92" s="901"/>
      <c r="H92" s="901"/>
      <c r="I92" s="901"/>
      <c r="J92" s="901"/>
      <c r="K92" s="901"/>
    </row>
    <row r="93" spans="1:12" s="586" customFormat="1" ht="11.25" customHeight="1" x14ac:dyDescent="0.25">
      <c r="A93" s="1368" t="s">
        <v>1281</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0</v>
      </c>
      <c r="D97" s="324">
        <f>SUM(D77+SA34b!D77)-'A5-Capex'!D40</f>
        <v>0</v>
      </c>
      <c r="E97" s="324">
        <f>SUM(E77+SA34b!E77)-'A5-Capex'!E40</f>
        <v>0</v>
      </c>
      <c r="F97" s="324">
        <f>SUM(F77+SA34b!F77)-'A5-Capex'!F40</f>
        <v>0</v>
      </c>
      <c r="G97" s="324">
        <f>SUM(G77+SA34b!G77)-'A5-Capex'!G40</f>
        <v>0</v>
      </c>
      <c r="H97" s="324">
        <f>SUM(H77+SA34b!H77)-'A5-Capex'!H40</f>
        <v>0</v>
      </c>
      <c r="I97" s="324">
        <f>SUM(I77+SA34b!I77)-'A5-Capex'!J40</f>
        <v>0</v>
      </c>
      <c r="J97" s="324">
        <f>SUM(J77+SA34b!J77)-'A5-Capex'!K40</f>
        <v>0</v>
      </c>
      <c r="K97" s="324">
        <f>SUM(K77+SA34b!K77)-'A5-Capex'!L40</f>
        <v>0.20000000298023224</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82" activePane="bottomRight" state="frozen"/>
      <selection pane="topRight"/>
      <selection pane="bottomLeft"/>
      <selection pane="bottomRight" activeCell="C100" sqref="C10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LIM471 Ephraim Mogale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1178</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929</v>
      </c>
      <c r="B6" s="60"/>
      <c r="C6" s="271">
        <f>C7+C10+C14+C18+C21</f>
        <v>28383000</v>
      </c>
      <c r="D6" s="271">
        <f t="shared" ref="D6:K6" si="0">D7+D10+D14+D18+D21</f>
        <v>3194043.63</v>
      </c>
      <c r="E6" s="223">
        <f t="shared" si="0"/>
        <v>0</v>
      </c>
      <c r="F6" s="272">
        <f t="shared" si="0"/>
        <v>8000000</v>
      </c>
      <c r="G6" s="271">
        <f t="shared" si="0"/>
        <v>3400000</v>
      </c>
      <c r="H6" s="273">
        <f t="shared" si="0"/>
        <v>3400000</v>
      </c>
      <c r="I6" s="272">
        <f t="shared" si="0"/>
        <v>20400000</v>
      </c>
      <c r="J6" s="271">
        <f t="shared" si="0"/>
        <v>21624000</v>
      </c>
      <c r="K6" s="223">
        <f t="shared" si="0"/>
        <v>22921440</v>
      </c>
      <c r="L6" s="1408"/>
    </row>
    <row r="7" spans="1:12" s="1385" customFormat="1" ht="13.5" x14ac:dyDescent="0.25">
      <c r="A7" s="128" t="s">
        <v>510</v>
      </c>
      <c r="B7" s="60"/>
      <c r="C7" s="970">
        <f>SUM(C8:C9)</f>
        <v>16900000</v>
      </c>
      <c r="D7" s="970">
        <f t="shared" ref="D7:K7" si="1">SUM(D8:D9)</f>
        <v>1719629.1</v>
      </c>
      <c r="E7" s="1276">
        <f t="shared" si="1"/>
        <v>0</v>
      </c>
      <c r="F7" s="971">
        <f t="shared" si="1"/>
        <v>8000000</v>
      </c>
      <c r="G7" s="970">
        <f t="shared" si="1"/>
        <v>3400000</v>
      </c>
      <c r="H7" s="1007">
        <f t="shared" si="1"/>
        <v>3400000</v>
      </c>
      <c r="I7" s="1277">
        <f t="shared" si="1"/>
        <v>20400000</v>
      </c>
      <c r="J7" s="970">
        <f t="shared" si="1"/>
        <v>21624000</v>
      </c>
      <c r="K7" s="1007">
        <f t="shared" si="1"/>
        <v>22921440</v>
      </c>
      <c r="L7" s="247"/>
    </row>
    <row r="8" spans="1:12" s="1385" customFormat="1" ht="13.5" x14ac:dyDescent="0.25">
      <c r="A8" s="1147" t="s">
        <v>511</v>
      </c>
      <c r="B8" s="60"/>
      <c r="C8" s="2088">
        <v>16900000</v>
      </c>
      <c r="D8" s="2088">
        <v>1719629.1</v>
      </c>
      <c r="E8" s="2106"/>
      <c r="F8" s="2107"/>
      <c r="G8" s="2088"/>
      <c r="H8" s="2108"/>
      <c r="I8" s="2107">
        <f>7000000+6900000</f>
        <v>13900000</v>
      </c>
      <c r="J8" s="2088">
        <f>7420000+7314000</f>
        <v>14734000</v>
      </c>
      <c r="K8" s="2106">
        <f>7865200+7752840</f>
        <v>15618040</v>
      </c>
      <c r="L8" s="1408"/>
    </row>
    <row r="9" spans="1:12" s="1385" customFormat="1" ht="13.5" x14ac:dyDescent="0.25">
      <c r="A9" s="1147" t="s">
        <v>512</v>
      </c>
      <c r="B9" s="60"/>
      <c r="C9" s="2088"/>
      <c r="D9" s="2088"/>
      <c r="E9" s="2106"/>
      <c r="F9" s="2107">
        <f>1000000+7000000</f>
        <v>8000000</v>
      </c>
      <c r="G9" s="2107">
        <f>1000000+2400000</f>
        <v>3400000</v>
      </c>
      <c r="H9" s="2107">
        <f>1000000+2400000</f>
        <v>3400000</v>
      </c>
      <c r="I9" s="2107">
        <f>500000+6000000</f>
        <v>6500000</v>
      </c>
      <c r="J9" s="2088">
        <f>530000+6360000</f>
        <v>6890000</v>
      </c>
      <c r="K9" s="2106">
        <f>561800+6741600</f>
        <v>7303400</v>
      </c>
      <c r="L9" s="1409"/>
    </row>
    <row r="10" spans="1:12" s="1385" customFormat="1" ht="13.5" x14ac:dyDescent="0.25">
      <c r="A10" s="128" t="s">
        <v>21</v>
      </c>
      <c r="B10" s="60"/>
      <c r="C10" s="923">
        <f>SUM(C11:C13)</f>
        <v>2400000</v>
      </c>
      <c r="D10" s="923">
        <f t="shared" ref="D10:K10" si="2">SUM(D11:D13)</f>
        <v>1084847.23</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8"/>
      <c r="D11" s="2088"/>
      <c r="E11" s="2089"/>
      <c r="F11" s="2090"/>
      <c r="G11" s="2088"/>
      <c r="H11" s="2091"/>
      <c r="I11" s="2092"/>
      <c r="J11" s="2088"/>
      <c r="K11" s="2091"/>
      <c r="L11" s="1409"/>
    </row>
    <row r="12" spans="1:12" s="1385" customFormat="1" ht="13.5" x14ac:dyDescent="0.25">
      <c r="A12" s="1147" t="s">
        <v>23</v>
      </c>
      <c r="B12" s="60"/>
      <c r="C12" s="2088">
        <v>2400000</v>
      </c>
      <c r="D12" s="2088">
        <v>1084847.23</v>
      </c>
      <c r="E12" s="2089"/>
      <c r="F12" s="2090"/>
      <c r="G12" s="2088"/>
      <c r="H12" s="2091"/>
      <c r="I12" s="2092"/>
      <c r="J12" s="2088"/>
      <c r="K12" s="2091"/>
      <c r="L12" s="1409"/>
    </row>
    <row r="13" spans="1:12" s="1385" customFormat="1" ht="13.5" x14ac:dyDescent="0.25">
      <c r="A13" s="1147" t="s">
        <v>137</v>
      </c>
      <c r="B13" s="60"/>
      <c r="C13" s="2088"/>
      <c r="D13" s="2088"/>
      <c r="E13" s="2089"/>
      <c r="F13" s="2090"/>
      <c r="G13" s="2088"/>
      <c r="H13" s="2091"/>
      <c r="I13" s="2092"/>
      <c r="J13" s="2088"/>
      <c r="K13" s="2091"/>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8"/>
      <c r="D15" s="2088"/>
      <c r="E15" s="2089"/>
      <c r="F15" s="2090"/>
      <c r="G15" s="2088"/>
      <c r="H15" s="2091"/>
      <c r="I15" s="2092"/>
      <c r="J15" s="2088"/>
      <c r="K15" s="2091"/>
      <c r="L15" s="1409"/>
    </row>
    <row r="16" spans="1:12" s="1385" customFormat="1" ht="13.5" x14ac:dyDescent="0.25">
      <c r="A16" s="1147" t="s">
        <v>26</v>
      </c>
      <c r="B16" s="60"/>
      <c r="C16" s="2088"/>
      <c r="D16" s="2088"/>
      <c r="E16" s="2089"/>
      <c r="F16" s="2090"/>
      <c r="G16" s="2088"/>
      <c r="H16" s="2091"/>
      <c r="I16" s="2092"/>
      <c r="J16" s="2088"/>
      <c r="K16" s="2091"/>
      <c r="L16" s="1409"/>
    </row>
    <row r="17" spans="1:12" s="1385" customFormat="1" ht="13.5" x14ac:dyDescent="0.25">
      <c r="A17" s="1147" t="s">
        <v>27</v>
      </c>
      <c r="B17" s="60"/>
      <c r="C17" s="2088"/>
      <c r="D17" s="2088"/>
      <c r="E17" s="2089"/>
      <c r="F17" s="2090"/>
      <c r="G17" s="2088"/>
      <c r="H17" s="2091"/>
      <c r="I17" s="2092"/>
      <c r="J17" s="2088"/>
      <c r="K17" s="2091"/>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8"/>
      <c r="D19" s="2088"/>
      <c r="E19" s="2089"/>
      <c r="F19" s="2090"/>
      <c r="G19" s="2088"/>
      <c r="H19" s="2091"/>
      <c r="I19" s="2092"/>
      <c r="J19" s="2088"/>
      <c r="K19" s="2091"/>
      <c r="L19" s="1409"/>
    </row>
    <row r="20" spans="1:12" s="1385" customFormat="1" ht="13.5" x14ac:dyDescent="0.25">
      <c r="A20" s="1147" t="s">
        <v>29</v>
      </c>
      <c r="B20" s="60"/>
      <c r="C20" s="2088"/>
      <c r="D20" s="2088"/>
      <c r="E20" s="2089"/>
      <c r="F20" s="2090"/>
      <c r="G20" s="2088"/>
      <c r="H20" s="2091"/>
      <c r="I20" s="2092"/>
      <c r="J20" s="2088"/>
      <c r="K20" s="2091"/>
      <c r="L20" s="1409"/>
    </row>
    <row r="21" spans="1:12" s="1385" customFormat="1" ht="13.5" x14ac:dyDescent="0.25">
      <c r="A21" s="128" t="s">
        <v>30</v>
      </c>
      <c r="B21" s="60"/>
      <c r="C21" s="923">
        <f>SUM(C22:C25)</f>
        <v>9083000</v>
      </c>
      <c r="D21" s="923">
        <f t="shared" ref="D21:K21" si="5">SUM(D22:D25)</f>
        <v>389567.3</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1037</v>
      </c>
      <c r="B22" s="60"/>
      <c r="C22" s="2088">
        <v>850000</v>
      </c>
      <c r="D22" s="2088">
        <v>389567.3</v>
      </c>
      <c r="E22" s="2108"/>
      <c r="F22" s="2107"/>
      <c r="G22" s="2088"/>
      <c r="H22" s="2108"/>
      <c r="I22" s="2107"/>
      <c r="J22" s="2088"/>
      <c r="K22" s="2091"/>
      <c r="L22" s="1408"/>
    </row>
    <row r="23" spans="1:12" s="1385" customFormat="1" ht="13.5" x14ac:dyDescent="0.25">
      <c r="A23" s="1147" t="s">
        <v>304</v>
      </c>
      <c r="B23" s="60">
        <v>2</v>
      </c>
      <c r="C23" s="2088"/>
      <c r="D23" s="2088"/>
      <c r="E23" s="2106"/>
      <c r="F23" s="2107"/>
      <c r="G23" s="2088"/>
      <c r="H23" s="2108"/>
      <c r="I23" s="2107"/>
      <c r="J23" s="2088"/>
      <c r="K23" s="2091"/>
      <c r="L23" s="1409"/>
    </row>
    <row r="24" spans="1:12" s="1385" customFormat="1" ht="13.5" x14ac:dyDescent="0.25">
      <c r="A24" s="1147" t="s">
        <v>138</v>
      </c>
      <c r="B24" s="60"/>
      <c r="C24" s="2088"/>
      <c r="D24" s="2088"/>
      <c r="E24" s="2106"/>
      <c r="F24" s="2107"/>
      <c r="G24" s="2088"/>
      <c r="H24" s="2108"/>
      <c r="I24" s="2107"/>
      <c r="J24" s="2088"/>
      <c r="K24" s="2106"/>
      <c r="L24" s="1409"/>
    </row>
    <row r="25" spans="1:12" s="1385" customFormat="1" ht="13.5" x14ac:dyDescent="0.25">
      <c r="A25" s="1147" t="s">
        <v>276</v>
      </c>
      <c r="B25" s="60">
        <v>3</v>
      </c>
      <c r="C25" s="2088">
        <v>8233000</v>
      </c>
      <c r="D25" s="2088">
        <v>0</v>
      </c>
      <c r="E25" s="2106"/>
      <c r="F25" s="2107"/>
      <c r="G25" s="2088"/>
      <c r="H25" s="2108"/>
      <c r="I25" s="2107"/>
      <c r="J25" s="2088"/>
      <c r="K25" s="2106"/>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1498</v>
      </c>
      <c r="B27" s="60"/>
      <c r="C27" s="96">
        <f>SUM(C28:C41)</f>
        <v>1210000</v>
      </c>
      <c r="D27" s="96">
        <f t="shared" ref="D27:K27" si="6">SUM(D28:D41)</f>
        <v>0</v>
      </c>
      <c r="E27" s="97">
        <f t="shared" si="6"/>
        <v>0</v>
      </c>
      <c r="F27" s="98">
        <f t="shared" si="6"/>
        <v>1750000</v>
      </c>
      <c r="G27" s="96">
        <f t="shared" si="6"/>
        <v>1350000</v>
      </c>
      <c r="H27" s="95">
        <f t="shared" si="6"/>
        <v>1350000</v>
      </c>
      <c r="I27" s="98">
        <f t="shared" si="6"/>
        <v>1120000</v>
      </c>
      <c r="J27" s="96">
        <f t="shared" si="6"/>
        <v>1187200</v>
      </c>
      <c r="K27" s="97">
        <f t="shared" si="6"/>
        <v>1258432</v>
      </c>
      <c r="L27" s="247"/>
    </row>
    <row r="28" spans="1:12" ht="11.25" customHeight="1" x14ac:dyDescent="0.25">
      <c r="A28" s="128" t="s">
        <v>2</v>
      </c>
      <c r="B28" s="60"/>
      <c r="C28" s="2093"/>
      <c r="D28" s="2093"/>
      <c r="E28" s="2387"/>
      <c r="F28" s="2464">
        <f>1000000</f>
        <v>1000000</v>
      </c>
      <c r="G28" s="2093">
        <f>600000</f>
        <v>600000</v>
      </c>
      <c r="H28" s="2093">
        <f>600000</f>
        <v>600000</v>
      </c>
      <c r="I28" s="2464">
        <f>1120000</f>
        <v>1120000</v>
      </c>
      <c r="J28" s="2093">
        <f>1187200</f>
        <v>1187200</v>
      </c>
      <c r="K28" s="2387">
        <f>1258432</f>
        <v>1258432</v>
      </c>
      <c r="L28" s="1409"/>
    </row>
    <row r="29" spans="1:12" ht="11.25" customHeight="1" x14ac:dyDescent="0.25">
      <c r="A29" s="128" t="s">
        <v>1518</v>
      </c>
      <c r="B29" s="60"/>
      <c r="C29" s="2088"/>
      <c r="D29" s="2088"/>
      <c r="E29" s="2106"/>
      <c r="F29" s="2107"/>
      <c r="G29" s="2088"/>
      <c r="H29" s="2108"/>
      <c r="I29" s="2107"/>
      <c r="J29" s="2088"/>
      <c r="K29" s="2106"/>
      <c r="L29" s="1409"/>
    </row>
    <row r="30" spans="1:12" ht="11.25" customHeight="1" x14ac:dyDescent="0.25">
      <c r="A30" s="128" t="s">
        <v>480</v>
      </c>
      <c r="B30" s="60"/>
      <c r="C30" s="2088"/>
      <c r="D30" s="2088"/>
      <c r="E30" s="2106"/>
      <c r="F30" s="2107"/>
      <c r="G30" s="2088"/>
      <c r="H30" s="2108"/>
      <c r="I30" s="2107"/>
      <c r="J30" s="2088"/>
      <c r="K30" s="2106"/>
      <c r="L30" s="1409"/>
    </row>
    <row r="31" spans="1:12" ht="11.25" customHeight="1" x14ac:dyDescent="0.25">
      <c r="A31" s="128" t="s">
        <v>1</v>
      </c>
      <c r="B31" s="60"/>
      <c r="C31" s="2088"/>
      <c r="D31" s="2088"/>
      <c r="E31" s="2106"/>
      <c r="F31" s="2107"/>
      <c r="G31" s="2088"/>
      <c r="H31" s="2108"/>
      <c r="I31" s="2107"/>
      <c r="J31" s="2088"/>
      <c r="K31" s="2106"/>
      <c r="L31" s="1409"/>
    </row>
    <row r="32" spans="1:12" ht="11.25" customHeight="1" x14ac:dyDescent="0.25">
      <c r="A32" s="128" t="s">
        <v>323</v>
      </c>
      <c r="B32" s="60"/>
      <c r="C32" s="2088"/>
      <c r="D32" s="2088"/>
      <c r="E32" s="2106"/>
      <c r="F32" s="2107"/>
      <c r="G32" s="2088"/>
      <c r="H32" s="2108"/>
      <c r="I32" s="2107"/>
      <c r="J32" s="2088"/>
      <c r="K32" s="2106"/>
      <c r="L32" s="1409"/>
    </row>
    <row r="33" spans="1:15" ht="11.25" customHeight="1" x14ac:dyDescent="0.25">
      <c r="A33" s="128" t="s">
        <v>0</v>
      </c>
      <c r="B33" s="60"/>
      <c r="C33" s="2088"/>
      <c r="D33" s="2088"/>
      <c r="E33" s="2106"/>
      <c r="F33" s="2107"/>
      <c r="G33" s="2088"/>
      <c r="H33" s="2108"/>
      <c r="I33" s="2107"/>
      <c r="J33" s="2088"/>
      <c r="K33" s="2106"/>
      <c r="L33" s="1409"/>
    </row>
    <row r="34" spans="1:15" ht="11.25" customHeight="1" x14ac:dyDescent="0.25">
      <c r="A34" s="128" t="s">
        <v>1519</v>
      </c>
      <c r="B34" s="60"/>
      <c r="C34" s="2088"/>
      <c r="D34" s="2088"/>
      <c r="E34" s="2106"/>
      <c r="F34" s="2107"/>
      <c r="G34" s="2088"/>
      <c r="H34" s="2108"/>
      <c r="I34" s="2107"/>
      <c r="J34" s="2088"/>
      <c r="K34" s="2106"/>
      <c r="L34" s="1409"/>
    </row>
    <row r="35" spans="1:15" ht="11.25" customHeight="1" x14ac:dyDescent="0.25">
      <c r="A35" s="128" t="s">
        <v>914</v>
      </c>
      <c r="B35" s="60"/>
      <c r="C35" s="2088"/>
      <c r="D35" s="2088"/>
      <c r="E35" s="2106"/>
      <c r="F35" s="2107"/>
      <c r="G35" s="2088"/>
      <c r="H35" s="2108"/>
      <c r="I35" s="2107"/>
      <c r="J35" s="2088"/>
      <c r="K35" s="2106"/>
      <c r="L35" s="1409"/>
    </row>
    <row r="36" spans="1:15" ht="11.25" customHeight="1" x14ac:dyDescent="0.25">
      <c r="A36" s="128" t="s">
        <v>1458</v>
      </c>
      <c r="B36" s="60">
        <v>7</v>
      </c>
      <c r="C36" s="2088"/>
      <c r="D36" s="2088"/>
      <c r="E36" s="2106"/>
      <c r="F36" s="2107"/>
      <c r="G36" s="2088"/>
      <c r="H36" s="2108"/>
      <c r="I36" s="2107"/>
      <c r="J36" s="2088"/>
      <c r="K36" s="2106"/>
      <c r="L36" s="1409"/>
    </row>
    <row r="37" spans="1:15" ht="11.25" customHeight="1" x14ac:dyDescent="0.25">
      <c r="A37" s="128" t="s">
        <v>1232</v>
      </c>
      <c r="B37" s="60"/>
      <c r="C37" s="2088"/>
      <c r="D37" s="2088"/>
      <c r="E37" s="2106"/>
      <c r="F37" s="2107"/>
      <c r="G37" s="2088"/>
      <c r="H37" s="2108"/>
      <c r="I37" s="2107"/>
      <c r="J37" s="2088"/>
      <c r="K37" s="2106"/>
      <c r="L37" s="1409"/>
      <c r="O37" s="247"/>
    </row>
    <row r="38" spans="1:15" ht="11.25" customHeight="1" x14ac:dyDescent="0.25">
      <c r="A38" s="128" t="s">
        <v>681</v>
      </c>
      <c r="B38" s="60"/>
      <c r="C38" s="2088"/>
      <c r="D38" s="2088"/>
      <c r="E38" s="2106"/>
      <c r="F38" s="2107"/>
      <c r="G38" s="2088"/>
      <c r="H38" s="2108"/>
      <c r="I38" s="2107"/>
      <c r="J38" s="2088"/>
      <c r="K38" s="2106"/>
      <c r="L38" s="1409"/>
    </row>
    <row r="39" spans="1:15" ht="11.25" customHeight="1" x14ac:dyDescent="0.25">
      <c r="A39" s="128" t="s">
        <v>478</v>
      </c>
      <c r="B39" s="60"/>
      <c r="C39" s="2088"/>
      <c r="D39" s="2088"/>
      <c r="E39" s="2106"/>
      <c r="F39" s="2107">
        <f>750000</f>
        <v>750000</v>
      </c>
      <c r="G39" s="2088">
        <f>750000</f>
        <v>750000</v>
      </c>
      <c r="H39" s="2088">
        <f>750000</f>
        <v>750000</v>
      </c>
      <c r="I39" s="2107"/>
      <c r="J39" s="2088"/>
      <c r="K39" s="2106"/>
      <c r="L39" s="1409"/>
    </row>
    <row r="40" spans="1:15" ht="11.25" customHeight="1" x14ac:dyDescent="0.25">
      <c r="A40" s="128" t="s">
        <v>31</v>
      </c>
      <c r="B40" s="60">
        <v>8</v>
      </c>
      <c r="C40" s="2088"/>
      <c r="D40" s="2088"/>
      <c r="E40" s="2106"/>
      <c r="F40" s="2107"/>
      <c r="G40" s="2088"/>
      <c r="H40" s="2108"/>
      <c r="I40" s="2107"/>
      <c r="J40" s="2088"/>
      <c r="K40" s="2106"/>
      <c r="L40" s="247"/>
    </row>
    <row r="41" spans="1:15" ht="11.25" customHeight="1" x14ac:dyDescent="0.25">
      <c r="A41" s="128" t="s">
        <v>276</v>
      </c>
      <c r="B41" s="60"/>
      <c r="C41" s="2127">
        <v>1210000</v>
      </c>
      <c r="D41" s="2127"/>
      <c r="E41" s="2130"/>
      <c r="F41" s="2485"/>
      <c r="G41" s="2127"/>
      <c r="H41" s="2486"/>
      <c r="I41" s="2485"/>
      <c r="J41" s="2127"/>
      <c r="K41" s="2130"/>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917</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1205</v>
      </c>
      <c r="B44" s="60"/>
      <c r="C44" s="2098"/>
      <c r="D44" s="2098"/>
      <c r="E44" s="2487"/>
      <c r="F44" s="2488"/>
      <c r="G44" s="2098"/>
      <c r="H44" s="2489"/>
      <c r="I44" s="2488"/>
      <c r="J44" s="2098"/>
      <c r="K44" s="2487"/>
      <c r="L44" s="247"/>
    </row>
    <row r="45" spans="1:15" ht="11.25" customHeight="1" x14ac:dyDescent="0.25">
      <c r="A45" s="132" t="s">
        <v>276</v>
      </c>
      <c r="B45" s="60">
        <v>9</v>
      </c>
      <c r="C45" s="2125"/>
      <c r="D45" s="2125"/>
      <c r="E45" s="2490"/>
      <c r="F45" s="2491"/>
      <c r="G45" s="2125"/>
      <c r="H45" s="2492"/>
      <c r="I45" s="2491"/>
      <c r="J45" s="2125"/>
      <c r="K45" s="2490"/>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918</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93"/>
      <c r="D48" s="2093"/>
      <c r="E48" s="2387"/>
      <c r="F48" s="2464"/>
      <c r="G48" s="2093"/>
      <c r="H48" s="2484"/>
      <c r="I48" s="2464"/>
      <c r="J48" s="2093"/>
      <c r="K48" s="2387"/>
      <c r="L48" s="1409"/>
    </row>
    <row r="49" spans="1:12" ht="11.25" customHeight="1" x14ac:dyDescent="0.25">
      <c r="A49" s="132" t="s">
        <v>276</v>
      </c>
      <c r="B49" s="60"/>
      <c r="C49" s="2127"/>
      <c r="D49" s="2127"/>
      <c r="E49" s="2130"/>
      <c r="F49" s="2485"/>
      <c r="G49" s="2127"/>
      <c r="H49" s="2486"/>
      <c r="I49" s="2485"/>
      <c r="J49" s="2127"/>
      <c r="K49" s="2130"/>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919</v>
      </c>
      <c r="B51" s="60"/>
      <c r="C51" s="96">
        <f>SUM(C52:C63)</f>
        <v>0</v>
      </c>
      <c r="D51" s="96">
        <f t="shared" ref="D51:K51" si="9">SUM(D52:D63)</f>
        <v>0</v>
      </c>
      <c r="E51" s="97">
        <f t="shared" si="9"/>
        <v>0</v>
      </c>
      <c r="F51" s="98">
        <f t="shared" si="9"/>
        <v>2192501</v>
      </c>
      <c r="G51" s="96">
        <f t="shared" si="9"/>
        <v>1876001</v>
      </c>
      <c r="H51" s="95">
        <f t="shared" si="9"/>
        <v>1876001</v>
      </c>
      <c r="I51" s="98">
        <f t="shared" si="9"/>
        <v>571600</v>
      </c>
      <c r="J51" s="96">
        <f t="shared" si="9"/>
        <v>605896</v>
      </c>
      <c r="K51" s="97">
        <f t="shared" si="9"/>
        <v>642249.76</v>
      </c>
      <c r="L51" s="247"/>
    </row>
    <row r="52" spans="1:12" ht="11.25" customHeight="1" x14ac:dyDescent="0.25">
      <c r="A52" s="132" t="s">
        <v>591</v>
      </c>
      <c r="B52" s="60"/>
      <c r="C52" s="2093"/>
      <c r="D52" s="2093"/>
      <c r="E52" s="2387"/>
      <c r="F52" s="2464"/>
      <c r="G52" s="2093"/>
      <c r="H52" s="2484"/>
      <c r="I52" s="2464"/>
      <c r="J52" s="2093"/>
      <c r="K52" s="2387"/>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1193</v>
      </c>
      <c r="B54" s="60"/>
      <c r="C54" s="2088"/>
      <c r="D54" s="2088"/>
      <c r="E54" s="2106"/>
      <c r="F54" s="2107"/>
      <c r="G54" s="2088"/>
      <c r="H54" s="2108"/>
      <c r="I54" s="2107"/>
      <c r="J54" s="2088"/>
      <c r="K54" s="2106"/>
      <c r="L54" s="1409"/>
    </row>
    <row r="55" spans="1:12" ht="11.25" customHeight="1" x14ac:dyDescent="0.25">
      <c r="A55" s="132" t="s">
        <v>592</v>
      </c>
      <c r="B55" s="60"/>
      <c r="C55" s="2088"/>
      <c r="D55" s="2088"/>
      <c r="E55" s="2106"/>
      <c r="F55" s="2107"/>
      <c r="G55" s="2088"/>
      <c r="H55" s="2108"/>
      <c r="I55" s="2107"/>
      <c r="J55" s="2088"/>
      <c r="K55" s="2106"/>
      <c r="L55" s="1409"/>
    </row>
    <row r="56" spans="1:12" ht="11.25" customHeight="1" x14ac:dyDescent="0.25">
      <c r="A56" s="132" t="s">
        <v>593</v>
      </c>
      <c r="B56" s="60"/>
      <c r="C56" s="2088"/>
      <c r="D56" s="2088"/>
      <c r="E56" s="2106"/>
      <c r="F56" s="2107"/>
      <c r="G56" s="2088"/>
      <c r="H56" s="2108"/>
      <c r="I56" s="2107">
        <f>550000</f>
        <v>550000</v>
      </c>
      <c r="J56" s="2088">
        <f>583000</f>
        <v>583000</v>
      </c>
      <c r="K56" s="2106">
        <f>617980</f>
        <v>617980</v>
      </c>
      <c r="L56" s="1409"/>
    </row>
    <row r="57" spans="1:12" ht="11.25" customHeight="1" x14ac:dyDescent="0.25">
      <c r="A57" s="132" t="s">
        <v>1194</v>
      </c>
      <c r="B57" s="60"/>
      <c r="C57" s="2088"/>
      <c r="D57" s="2088"/>
      <c r="E57" s="2106"/>
      <c r="F57" s="2107"/>
      <c r="G57" s="2088"/>
      <c r="H57" s="2108"/>
      <c r="I57" s="2107"/>
      <c r="J57" s="2088"/>
      <c r="K57" s="2106"/>
      <c r="L57" s="1409"/>
    </row>
    <row r="58" spans="1:12" ht="11.25" customHeight="1" x14ac:dyDescent="0.25">
      <c r="A58" s="132" t="s">
        <v>1195</v>
      </c>
      <c r="B58" s="60"/>
      <c r="C58" s="2088"/>
      <c r="D58" s="2088"/>
      <c r="E58" s="2106"/>
      <c r="F58" s="2107"/>
      <c r="G58" s="2088"/>
      <c r="H58" s="2108"/>
      <c r="I58" s="2107"/>
      <c r="J58" s="2088"/>
      <c r="K58" s="2106"/>
      <c r="L58" s="1408"/>
    </row>
    <row r="59" spans="1:12" ht="11.25" customHeight="1" x14ac:dyDescent="0.25">
      <c r="A59" s="132" t="s">
        <v>1456</v>
      </c>
      <c r="B59" s="60"/>
      <c r="C59" s="2088"/>
      <c r="D59" s="2088"/>
      <c r="E59" s="2106"/>
      <c r="F59" s="2107"/>
      <c r="G59" s="2088"/>
      <c r="H59" s="2108"/>
      <c r="I59" s="2107"/>
      <c r="J59" s="2088"/>
      <c r="K59" s="2106"/>
      <c r="L59" s="1409"/>
    </row>
    <row r="60" spans="1:12" ht="11.25" customHeight="1" x14ac:dyDescent="0.25">
      <c r="A60" s="132" t="s">
        <v>306</v>
      </c>
      <c r="B60" s="60"/>
      <c r="C60" s="2088"/>
      <c r="D60" s="2088"/>
      <c r="E60" s="2106"/>
      <c r="F60" s="2107">
        <v>800000</v>
      </c>
      <c r="G60" s="2088">
        <v>600000</v>
      </c>
      <c r="H60" s="2088">
        <v>600000</v>
      </c>
      <c r="I60" s="2107"/>
      <c r="J60" s="2088"/>
      <c r="K60" s="2106"/>
      <c r="L60" s="1409"/>
    </row>
    <row r="61" spans="1:12" ht="11.25" customHeight="1" x14ac:dyDescent="0.25">
      <c r="A61" s="132" t="s">
        <v>305</v>
      </c>
      <c r="B61" s="60"/>
      <c r="C61" s="2088"/>
      <c r="D61" s="2088"/>
      <c r="E61" s="2106"/>
      <c r="F61" s="2107"/>
      <c r="G61" s="2088"/>
      <c r="H61" s="2108"/>
      <c r="I61" s="2107"/>
      <c r="J61" s="2088"/>
      <c r="K61" s="2106"/>
      <c r="L61" s="1409"/>
    </row>
    <row r="62" spans="1:12" ht="11.25" customHeight="1" x14ac:dyDescent="0.25">
      <c r="A62" s="132" t="s">
        <v>594</v>
      </c>
      <c r="B62" s="60"/>
      <c r="C62" s="2088"/>
      <c r="D62" s="2088"/>
      <c r="E62" s="2106"/>
      <c r="F62" s="2107"/>
      <c r="G62" s="2088"/>
      <c r="H62" s="2108"/>
      <c r="I62" s="2107"/>
      <c r="J62" s="2088"/>
      <c r="K62" s="2106"/>
      <c r="L62" s="1409"/>
    </row>
    <row r="63" spans="1:12" ht="11.25" customHeight="1" x14ac:dyDescent="0.25">
      <c r="A63" s="128" t="s">
        <v>276</v>
      </c>
      <c r="B63" s="60"/>
      <c r="C63" s="2127"/>
      <c r="D63" s="2127"/>
      <c r="E63" s="2130"/>
      <c r="F63" s="2485">
        <f>400000+586339+56162+350000</f>
        <v>1392501</v>
      </c>
      <c r="G63" s="2127">
        <f>283500+586339+56162+350000</f>
        <v>1276001</v>
      </c>
      <c r="H63" s="2127">
        <f>283500+586339+56162+350000</f>
        <v>1276001</v>
      </c>
      <c r="I63" s="2485">
        <f>21600</f>
        <v>21600</v>
      </c>
      <c r="J63" s="2127">
        <f>22896</f>
        <v>22896</v>
      </c>
      <c r="K63" s="2130">
        <f>24269.76</f>
        <v>24269.759999999998</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1467</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5" t="s">
        <v>1206</v>
      </c>
      <c r="B66" s="60"/>
      <c r="C66" s="2093"/>
      <c r="D66" s="2093"/>
      <c r="E66" s="2387"/>
      <c r="F66" s="2464"/>
      <c r="G66" s="2093"/>
      <c r="H66" s="2484"/>
      <c r="I66" s="2464"/>
      <c r="J66" s="2093"/>
      <c r="K66" s="2387"/>
      <c r="L66" s="247"/>
    </row>
    <row r="67" spans="1:12" ht="11.25" customHeight="1" x14ac:dyDescent="0.25">
      <c r="A67" s="2445"/>
      <c r="B67" s="60"/>
      <c r="C67" s="2127"/>
      <c r="D67" s="2127"/>
      <c r="E67" s="2130"/>
      <c r="F67" s="2485"/>
      <c r="G67" s="2127"/>
      <c r="H67" s="2486"/>
      <c r="I67" s="2485"/>
      <c r="J67" s="2127"/>
      <c r="K67" s="2130"/>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5" t="s">
        <v>1206</v>
      </c>
      <c r="B70" s="60"/>
      <c r="C70" s="2093"/>
      <c r="D70" s="2093"/>
      <c r="E70" s="2387"/>
      <c r="F70" s="2464"/>
      <c r="G70" s="2093"/>
      <c r="H70" s="2484"/>
      <c r="I70" s="2464"/>
      <c r="J70" s="2093"/>
      <c r="K70" s="2387"/>
      <c r="L70" s="247"/>
    </row>
    <row r="71" spans="1:12" ht="11.25" customHeight="1" x14ac:dyDescent="0.25">
      <c r="A71" s="2445"/>
      <c r="B71" s="60"/>
      <c r="C71" s="2127"/>
      <c r="D71" s="2127"/>
      <c r="E71" s="2130"/>
      <c r="F71" s="2485"/>
      <c r="G71" s="2127"/>
      <c r="H71" s="2486"/>
      <c r="I71" s="2485"/>
      <c r="J71" s="2127"/>
      <c r="K71" s="2130"/>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925</v>
      </c>
      <c r="B74" s="60"/>
      <c r="C74" s="2093"/>
      <c r="D74" s="2093"/>
      <c r="E74" s="2387"/>
      <c r="F74" s="2464"/>
      <c r="G74" s="2093"/>
      <c r="H74" s="2484"/>
      <c r="I74" s="2464"/>
      <c r="J74" s="2093"/>
      <c r="K74" s="2387"/>
      <c r="L74" s="247"/>
    </row>
    <row r="75" spans="1:12" ht="11.25" customHeight="1" x14ac:dyDescent="0.25">
      <c r="A75" s="2418" t="s">
        <v>579</v>
      </c>
      <c r="B75" s="60"/>
      <c r="C75" s="2127"/>
      <c r="D75" s="2127"/>
      <c r="E75" s="2130"/>
      <c r="F75" s="2485"/>
      <c r="G75" s="2127"/>
      <c r="H75" s="2486"/>
      <c r="I75" s="2485"/>
      <c r="J75" s="2127"/>
      <c r="K75" s="2130"/>
      <c r="L75" s="247"/>
    </row>
    <row r="76" spans="1:12" ht="5.0999999999999996" customHeight="1" x14ac:dyDescent="0.25">
      <c r="A76" s="151"/>
      <c r="B76" s="60"/>
      <c r="C76" s="96"/>
      <c r="D76" s="96"/>
      <c r="E76" s="97"/>
      <c r="F76" s="98"/>
      <c r="G76" s="96"/>
      <c r="H76" s="95"/>
      <c r="I76" s="98"/>
      <c r="J76" s="96"/>
      <c r="K76" s="97"/>
      <c r="L76" s="247"/>
    </row>
    <row r="77" spans="1:12" x14ac:dyDescent="0.25">
      <c r="A77" s="159" t="s">
        <v>1179</v>
      </c>
      <c r="B77" s="103">
        <v>1</v>
      </c>
      <c r="C77" s="108">
        <f t="shared" ref="C77:K77" si="14">C6+C27+C43+C47+C51+C73+C65+C69</f>
        <v>29593000</v>
      </c>
      <c r="D77" s="108">
        <f t="shared" si="14"/>
        <v>3194043.63</v>
      </c>
      <c r="E77" s="106">
        <f t="shared" si="14"/>
        <v>0</v>
      </c>
      <c r="F77" s="107">
        <f t="shared" si="14"/>
        <v>11942501</v>
      </c>
      <c r="G77" s="108">
        <f t="shared" si="14"/>
        <v>6626001</v>
      </c>
      <c r="H77" s="109">
        <f t="shared" si="14"/>
        <v>6626001</v>
      </c>
      <c r="I77" s="107">
        <f t="shared" si="14"/>
        <v>22091600</v>
      </c>
      <c r="J77" s="108">
        <f t="shared" si="14"/>
        <v>23417096</v>
      </c>
      <c r="K77" s="106">
        <f t="shared" si="14"/>
        <v>24822121.760000002</v>
      </c>
      <c r="L77" s="247"/>
    </row>
    <row r="78" spans="1:12" x14ac:dyDescent="0.25">
      <c r="A78" s="1411"/>
      <c r="B78" s="529"/>
      <c r="C78" s="95"/>
      <c r="D78" s="95"/>
      <c r="E78" s="95"/>
      <c r="F78" s="95"/>
      <c r="G78" s="95"/>
      <c r="H78" s="95"/>
      <c r="I78" s="95"/>
      <c r="J78" s="95"/>
      <c r="K78" s="95"/>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1238</v>
      </c>
      <c r="B80" s="1866"/>
      <c r="C80" s="2090"/>
      <c r="D80" s="2088"/>
      <c r="E80" s="2091"/>
      <c r="F80" s="2090"/>
      <c r="G80" s="2088"/>
      <c r="H80" s="2091"/>
      <c r="I80" s="2090"/>
      <c r="J80" s="2088"/>
      <c r="K80" s="2091"/>
      <c r="L80" s="247"/>
    </row>
    <row r="81" spans="1:12" x14ac:dyDescent="0.25">
      <c r="A81" s="68" t="s">
        <v>1457</v>
      </c>
      <c r="B81" s="1866"/>
      <c r="C81" s="2090"/>
      <c r="D81" s="2088"/>
      <c r="E81" s="2091"/>
      <c r="F81" s="2090"/>
      <c r="G81" s="2088"/>
      <c r="H81" s="2091"/>
      <c r="I81" s="2090"/>
      <c r="J81" s="2088"/>
      <c r="K81" s="2091"/>
      <c r="L81" s="247"/>
    </row>
    <row r="82" spans="1:12" x14ac:dyDescent="0.25">
      <c r="A82" s="68" t="s">
        <v>1628</v>
      </c>
      <c r="B82" s="1866"/>
      <c r="C82" s="2090"/>
      <c r="D82" s="2088"/>
      <c r="E82" s="2091"/>
      <c r="F82" s="2090"/>
      <c r="G82" s="2088"/>
      <c r="H82" s="2091"/>
      <c r="I82" s="2090"/>
      <c r="J82" s="2088"/>
      <c r="K82" s="2091"/>
      <c r="L82" s="247"/>
    </row>
    <row r="83" spans="1:12" x14ac:dyDescent="0.25">
      <c r="A83" s="1172" t="s">
        <v>1629</v>
      </c>
      <c r="B83" s="1867"/>
      <c r="C83" s="2168"/>
      <c r="D83" s="2164"/>
      <c r="E83" s="2493"/>
      <c r="F83" s="2168"/>
      <c r="G83" s="2164"/>
      <c r="H83" s="2493"/>
      <c r="I83" s="2168"/>
      <c r="J83" s="2164"/>
      <c r="K83" s="2493"/>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70" t="s">
        <v>1858</v>
      </c>
      <c r="B85" s="1871"/>
      <c r="C85" s="1872">
        <f>IF(ISERROR(C77/'A9-Asset'!C49),0,(C77/'A9-Asset'!C49))</f>
        <v>0.5215115725590842</v>
      </c>
      <c r="D85" s="1872">
        <f>IF(ISERROR(D77/'A9-Asset'!D49),0,(D77/'A9-Asset'!D49))</f>
        <v>9.1935215116363461E-2</v>
      </c>
      <c r="E85" s="1873">
        <f>IF(ISERROR(E77/'A9-Asset'!E49),0,(E77/'A9-Asset'!E49))</f>
        <v>0</v>
      </c>
      <c r="F85" s="1874">
        <f>IF(ISERROR(F77/'A9-Asset'!F49),0,(F77/'A9-Asset'!F49))</f>
        <v>0.16864315581455641</v>
      </c>
      <c r="G85" s="1872">
        <f>IF(ISERROR(G77/'A9-Asset'!G49),0,(G77/'A9-Asset'!G49))</f>
        <v>9.6793590810284061E-2</v>
      </c>
      <c r="H85" s="1875">
        <f>IF(ISERROR(H77/'A9-Asset'!H49),0,(H77/'A9-Asset'!H49))</f>
        <v>9.6793590810284061E-2</v>
      </c>
      <c r="I85" s="1876">
        <f>IF(ISERROR(I77/'A9-Asset'!I49),0,(I77/'A9-Asset'!I49))</f>
        <v>0.33723536564241069</v>
      </c>
      <c r="J85" s="1872">
        <f>IF(ISERROR(J77/'A9-Asset'!J49),0,(J77/'A9-Asset'!J49))</f>
        <v>0.33968630847246467</v>
      </c>
      <c r="K85" s="1873">
        <f>IF(ISERROR(K77/'A9-Asset'!K49),0,(K77/'A9-Asset'!K49))</f>
        <v>0.33620225432907902</v>
      </c>
      <c r="L85" s="1410"/>
    </row>
    <row r="86" spans="1:12" s="586" customFormat="1" ht="11.25" customHeight="1" x14ac:dyDescent="0.25">
      <c r="A86" s="1858" t="s">
        <v>1374</v>
      </c>
      <c r="B86" s="1859"/>
      <c r="C86" s="1860">
        <f>IF(ISERROR(C77/'A9-Asset'!C68),0,(C77/'A9-Asset'!C68))</f>
        <v>0.78283521949543011</v>
      </c>
      <c r="D86" s="1860">
        <f>IF(ISERROR(D77/'A9-Asset'!D68),0,(D77/'A9-Asset'!D68))</f>
        <v>8.4141098268690151E-2</v>
      </c>
      <c r="E86" s="1861">
        <f>IF(ISERROR(E77/'A9-Asset'!E68),0,(E77/'A9-Asset'!E68))</f>
        <v>0</v>
      </c>
      <c r="F86" s="1862">
        <f>IF(ISERROR(F77/'A9-Asset'!F68),0,(F77/'A9-Asset'!F68))</f>
        <v>0.28166275943396224</v>
      </c>
      <c r="G86" s="1860">
        <f>IF(ISERROR(G77/'A9-Asset'!G68),0,(G77/'A9-Asset'!G68))</f>
        <v>0.15627360849056604</v>
      </c>
      <c r="H86" s="1863">
        <f>IF(ISERROR(H77/'A9-Asset'!H68),0,(H77/'A9-Asset'!H68))</f>
        <v>0.15627360849056604</v>
      </c>
      <c r="I86" s="1864">
        <f>IF(ISERROR(I77/'A9-Asset'!I68),0,(I77/'A9-Asset'!I68))</f>
        <v>0.49153613385546457</v>
      </c>
      <c r="J86" s="1860">
        <f>IF(ISERROR(J77/'A9-Asset'!J68),0,(J77/'A9-Asset'!J68))</f>
        <v>0.49153613385546457</v>
      </c>
      <c r="K86" s="1861">
        <f>IF(ISERROR(K77/'A9-Asset'!K68),0,(K77/'A9-Asset'!K68))</f>
        <v>0.49153613385546463</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1180</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867</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1586</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1280</v>
      </c>
      <c r="B95" s="897"/>
      <c r="C95" s="900"/>
      <c r="D95" s="900"/>
      <c r="E95" s="901"/>
      <c r="F95" s="901"/>
      <c r="G95" s="901"/>
      <c r="H95" s="901"/>
      <c r="I95" s="901"/>
      <c r="J95" s="901"/>
      <c r="K95" s="901"/>
    </row>
    <row r="96" spans="1:12" s="586" customFormat="1" ht="11.25" customHeight="1" x14ac:dyDescent="0.25">
      <c r="A96" s="1368" t="s">
        <v>1281</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0</v>
      </c>
      <c r="D100" s="324">
        <f>SUM(D77+SA34a!D77)-'A5-Capex'!D40</f>
        <v>0</v>
      </c>
      <c r="E100" s="324">
        <f>SUM(E77+SA34a!E77)-'A5-Capex'!E40</f>
        <v>0</v>
      </c>
      <c r="F100" s="324">
        <f>SUM(F77+SA34a!F77)-'A5-Capex'!F40</f>
        <v>0</v>
      </c>
      <c r="G100" s="324">
        <f>SUM(G77+SA34a!G77)-'A5-Capex'!G40</f>
        <v>0</v>
      </c>
      <c r="H100" s="324">
        <f>SUM(H77+SA34a!H77)-'A5-Capex'!H40</f>
        <v>0</v>
      </c>
      <c r="I100" s="324">
        <f>SUM(I77+SA34a!I77)-'A5-Capex'!J40</f>
        <v>0</v>
      </c>
      <c r="J100" s="324">
        <f>SUM(J77+SA34a!J77)-'A5-Capex'!K40</f>
        <v>0</v>
      </c>
      <c r="K100" s="324">
        <f>SUM(K77+SA34a!K77)-'A5-Capex'!L40</f>
        <v>0.20000000298023224</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85" activePane="bottomRight" state="frozen"/>
      <selection pane="topRight"/>
      <selection pane="bottomLeft"/>
      <selection pane="bottomRight" activeCell="J93" sqref="J9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LIM471 Ephraim Mogale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1175</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929</v>
      </c>
      <c r="B6" s="60"/>
      <c r="C6" s="271">
        <f>C7+C10+C14+C18+C21</f>
        <v>5561538</v>
      </c>
      <c r="D6" s="271">
        <f t="shared" ref="D6:K6" si="0">D7+D10+D14+D18+D21</f>
        <v>456813</v>
      </c>
      <c r="E6" s="223">
        <f t="shared" si="0"/>
        <v>112005</v>
      </c>
      <c r="F6" s="272">
        <f t="shared" si="0"/>
        <v>1866802.4</v>
      </c>
      <c r="G6" s="271">
        <f t="shared" si="0"/>
        <v>460000</v>
      </c>
      <c r="H6" s="273">
        <f t="shared" si="0"/>
        <v>460000</v>
      </c>
      <c r="I6" s="272">
        <f t="shared" si="0"/>
        <v>5572251.1799999997</v>
      </c>
      <c r="J6" s="271">
        <f t="shared" si="0"/>
        <v>5906586.25</v>
      </c>
      <c r="K6" s="223">
        <f t="shared" si="0"/>
        <v>6260981.4299999997</v>
      </c>
      <c r="L6" s="1408"/>
    </row>
    <row r="7" spans="1:12" s="1385" customFormat="1" ht="13.5" x14ac:dyDescent="0.25">
      <c r="A7" s="128" t="s">
        <v>510</v>
      </c>
      <c r="B7" s="60"/>
      <c r="C7" s="970">
        <f>SUM(C8:C9)</f>
        <v>3225367</v>
      </c>
      <c r="D7" s="970">
        <f t="shared" ref="D7:K7" si="1">SUM(D8:D9)</f>
        <v>0</v>
      </c>
      <c r="E7" s="1276">
        <f t="shared" si="1"/>
        <v>0</v>
      </c>
      <c r="F7" s="971">
        <f t="shared" si="1"/>
        <v>0</v>
      </c>
      <c r="G7" s="970">
        <f t="shared" si="1"/>
        <v>0</v>
      </c>
      <c r="H7" s="1007">
        <f t="shared" si="1"/>
        <v>0</v>
      </c>
      <c r="I7" s="1277">
        <f t="shared" si="1"/>
        <v>1633986</v>
      </c>
      <c r="J7" s="970">
        <f t="shared" si="1"/>
        <v>1732025.16</v>
      </c>
      <c r="K7" s="1007">
        <f t="shared" si="1"/>
        <v>1835946.67</v>
      </c>
      <c r="L7" s="247"/>
    </row>
    <row r="8" spans="1:12" s="1385" customFormat="1" ht="13.5" x14ac:dyDescent="0.25">
      <c r="A8" s="1147" t="s">
        <v>511</v>
      </c>
      <c r="B8" s="60"/>
      <c r="C8" s="2088">
        <v>3225367</v>
      </c>
      <c r="D8" s="2088"/>
      <c r="E8" s="2106"/>
      <c r="F8" s="2107"/>
      <c r="G8" s="2088"/>
      <c r="H8" s="2108"/>
      <c r="I8" s="2107">
        <f>1633986</f>
        <v>1633986</v>
      </c>
      <c r="J8" s="2088">
        <f>1732025.16</f>
        <v>1732025.16</v>
      </c>
      <c r="K8" s="2106">
        <f>1835946.67</f>
        <v>1835946.67</v>
      </c>
      <c r="L8" s="1408"/>
    </row>
    <row r="9" spans="1:12" s="1385" customFormat="1" ht="13.5" x14ac:dyDescent="0.25">
      <c r="A9" s="1147" t="s">
        <v>512</v>
      </c>
      <c r="B9" s="60"/>
      <c r="C9" s="2088"/>
      <c r="D9" s="2088"/>
      <c r="E9" s="2106"/>
      <c r="F9" s="2107"/>
      <c r="G9" s="2088"/>
      <c r="H9" s="2108"/>
      <c r="I9" s="2107"/>
      <c r="J9" s="2088"/>
      <c r="K9" s="2106"/>
      <c r="L9" s="1409"/>
    </row>
    <row r="10" spans="1:12" s="1385" customFormat="1" ht="13.5" x14ac:dyDescent="0.25">
      <c r="A10" s="128" t="s">
        <v>21</v>
      </c>
      <c r="B10" s="60"/>
      <c r="C10" s="923">
        <f>SUM(C11:C13)</f>
        <v>2020506</v>
      </c>
      <c r="D10" s="923">
        <f t="shared" ref="D10:K10" si="2">SUM(D11:D13)</f>
        <v>0</v>
      </c>
      <c r="E10" s="1278">
        <f t="shared" si="2"/>
        <v>0</v>
      </c>
      <c r="F10" s="927">
        <f t="shared" si="2"/>
        <v>1866802.4</v>
      </c>
      <c r="G10" s="923">
        <f t="shared" si="2"/>
        <v>460000</v>
      </c>
      <c r="H10" s="1009">
        <f t="shared" si="2"/>
        <v>460000</v>
      </c>
      <c r="I10" s="1279">
        <f t="shared" si="2"/>
        <v>3208265.18</v>
      </c>
      <c r="J10" s="923">
        <f t="shared" si="2"/>
        <v>3400761.09</v>
      </c>
      <c r="K10" s="1009">
        <f t="shared" si="2"/>
        <v>3604806.76</v>
      </c>
      <c r="L10" s="1409"/>
    </row>
    <row r="11" spans="1:12" s="1385" customFormat="1" ht="13.5" x14ac:dyDescent="0.25">
      <c r="A11" s="1147" t="s">
        <v>22</v>
      </c>
      <c r="B11" s="60"/>
      <c r="C11" s="2088"/>
      <c r="D11" s="2088"/>
      <c r="E11" s="2089"/>
      <c r="F11" s="2090"/>
      <c r="G11" s="2088"/>
      <c r="H11" s="2091"/>
      <c r="I11" s="2092"/>
      <c r="J11" s="2088"/>
      <c r="K11" s="2091"/>
      <c r="L11" s="1409"/>
    </row>
    <row r="12" spans="1:12" s="1385" customFormat="1" ht="13.5" x14ac:dyDescent="0.25">
      <c r="A12" s="1147" t="s">
        <v>23</v>
      </c>
      <c r="B12" s="60"/>
      <c r="C12" s="2088">
        <v>1490506</v>
      </c>
      <c r="D12" s="2088"/>
      <c r="E12" s="2089"/>
      <c r="F12" s="2090">
        <v>1500000</v>
      </c>
      <c r="G12" s="2088">
        <v>0</v>
      </c>
      <c r="H12" s="2088">
        <v>0</v>
      </c>
      <c r="I12" s="2092">
        <f>200000+2865.18+2517800</f>
        <v>2720665.18</v>
      </c>
      <c r="J12" s="2088">
        <f>212000+3037.09+2668868</f>
        <v>2883905.09</v>
      </c>
      <c r="K12" s="2091">
        <f>224720+3219.32+2829000.08</f>
        <v>3056939.4</v>
      </c>
      <c r="L12" s="1409"/>
    </row>
    <row r="13" spans="1:12" s="1385" customFormat="1" ht="13.5" x14ac:dyDescent="0.25">
      <c r="A13" s="1147" t="s">
        <v>137</v>
      </c>
      <c r="B13" s="60"/>
      <c r="C13" s="2088">
        <v>530000</v>
      </c>
      <c r="D13" s="2088"/>
      <c r="E13" s="2089"/>
      <c r="F13" s="2090">
        <v>366802.4</v>
      </c>
      <c r="G13" s="2088">
        <v>460000</v>
      </c>
      <c r="H13" s="2088">
        <v>460000</v>
      </c>
      <c r="I13" s="2092">
        <f>487600</f>
        <v>487600</v>
      </c>
      <c r="J13" s="2088">
        <f>516856</f>
        <v>516856</v>
      </c>
      <c r="K13" s="2091">
        <f>547867.36</f>
        <v>547867.36</v>
      </c>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8"/>
      <c r="D15" s="2088"/>
      <c r="E15" s="2089"/>
      <c r="F15" s="2090"/>
      <c r="G15" s="2088"/>
      <c r="H15" s="2091"/>
      <c r="I15" s="2092"/>
      <c r="J15" s="2088"/>
      <c r="K15" s="2091"/>
      <c r="L15" s="1409"/>
    </row>
    <row r="16" spans="1:12" s="1385" customFormat="1" ht="13.5" x14ac:dyDescent="0.25">
      <c r="A16" s="1147" t="s">
        <v>26</v>
      </c>
      <c r="B16" s="60"/>
      <c r="C16" s="2088"/>
      <c r="D16" s="2088"/>
      <c r="E16" s="2089"/>
      <c r="F16" s="2090"/>
      <c r="G16" s="2088"/>
      <c r="H16" s="2091"/>
      <c r="I16" s="2092"/>
      <c r="J16" s="2088"/>
      <c r="K16" s="2091"/>
      <c r="L16" s="1409"/>
    </row>
    <row r="17" spans="1:12" s="1385" customFormat="1" ht="13.5" x14ac:dyDescent="0.25">
      <c r="A17" s="1147" t="s">
        <v>27</v>
      </c>
      <c r="B17" s="60"/>
      <c r="C17" s="2088"/>
      <c r="D17" s="2088"/>
      <c r="E17" s="2089"/>
      <c r="F17" s="2090"/>
      <c r="G17" s="2088"/>
      <c r="H17" s="2091"/>
      <c r="I17" s="2092"/>
      <c r="J17" s="2088"/>
      <c r="K17" s="2091"/>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8"/>
      <c r="D19" s="2088"/>
      <c r="E19" s="2089"/>
      <c r="F19" s="2090"/>
      <c r="G19" s="2088"/>
      <c r="H19" s="2091"/>
      <c r="I19" s="2092"/>
      <c r="J19" s="2088"/>
      <c r="K19" s="2091"/>
      <c r="L19" s="1409"/>
    </row>
    <row r="20" spans="1:12" s="1385" customFormat="1" ht="13.5" x14ac:dyDescent="0.25">
      <c r="A20" s="1147" t="s">
        <v>29</v>
      </c>
      <c r="B20" s="60"/>
      <c r="C20" s="2088"/>
      <c r="D20" s="2088"/>
      <c r="E20" s="2089"/>
      <c r="F20" s="2090"/>
      <c r="G20" s="2088"/>
      <c r="H20" s="2091"/>
      <c r="I20" s="2092"/>
      <c r="J20" s="2088"/>
      <c r="K20" s="2091"/>
      <c r="L20" s="1409"/>
    </row>
    <row r="21" spans="1:12" s="1385" customFormat="1" ht="13.5" x14ac:dyDescent="0.25">
      <c r="A21" s="128" t="s">
        <v>30</v>
      </c>
      <c r="B21" s="60"/>
      <c r="C21" s="923">
        <f>SUM(C22:C25)</f>
        <v>315665</v>
      </c>
      <c r="D21" s="923">
        <f t="shared" ref="D21:K21" si="5">SUM(D22:D25)</f>
        <v>456813</v>
      </c>
      <c r="E21" s="923">
        <f t="shared" si="5"/>
        <v>112005</v>
      </c>
      <c r="F21" s="927">
        <f t="shared" si="5"/>
        <v>0</v>
      </c>
      <c r="G21" s="923">
        <f t="shared" si="5"/>
        <v>0</v>
      </c>
      <c r="H21" s="1009">
        <f t="shared" si="5"/>
        <v>0</v>
      </c>
      <c r="I21" s="1279">
        <f t="shared" si="5"/>
        <v>730000</v>
      </c>
      <c r="J21" s="923">
        <f t="shared" si="5"/>
        <v>773800</v>
      </c>
      <c r="K21" s="1009">
        <f t="shared" si="5"/>
        <v>820228</v>
      </c>
      <c r="L21" s="1409"/>
    </row>
    <row r="22" spans="1:12" s="1385" customFormat="1" ht="13.5" x14ac:dyDescent="0.25">
      <c r="A22" s="1147" t="s">
        <v>1037</v>
      </c>
      <c r="B22" s="60"/>
      <c r="C22" s="2088">
        <v>315665</v>
      </c>
      <c r="D22" s="2088"/>
      <c r="E22" s="2108"/>
      <c r="F22" s="2107"/>
      <c r="G22" s="2088"/>
      <c r="H22" s="2108"/>
      <c r="I22" s="2107"/>
      <c r="J22" s="2088"/>
      <c r="K22" s="2091"/>
      <c r="L22" s="1408"/>
    </row>
    <row r="23" spans="1:12" s="1385" customFormat="1" ht="13.5" x14ac:dyDescent="0.25">
      <c r="A23" s="1147" t="s">
        <v>304</v>
      </c>
      <c r="B23" s="60">
        <v>2</v>
      </c>
      <c r="C23" s="2088"/>
      <c r="D23" s="2088"/>
      <c r="E23" s="2106"/>
      <c r="F23" s="2107"/>
      <c r="G23" s="2088"/>
      <c r="H23" s="2108"/>
      <c r="I23" s="2107"/>
      <c r="J23" s="2088"/>
      <c r="K23" s="2091"/>
      <c r="L23" s="1409"/>
    </row>
    <row r="24" spans="1:12" s="1385" customFormat="1" ht="13.5" x14ac:dyDescent="0.25">
      <c r="A24" s="1147" t="s">
        <v>138</v>
      </c>
      <c r="B24" s="60"/>
      <c r="C24" s="2088"/>
      <c r="D24" s="2088"/>
      <c r="E24" s="2106"/>
      <c r="F24" s="2107"/>
      <c r="G24" s="2088"/>
      <c r="H24" s="2108"/>
      <c r="I24" s="2107"/>
      <c r="J24" s="2088"/>
      <c r="K24" s="2106"/>
      <c r="L24" s="1409"/>
    </row>
    <row r="25" spans="1:12" s="1385" customFormat="1" ht="13.5" x14ac:dyDescent="0.25">
      <c r="A25" s="1147" t="s">
        <v>276</v>
      </c>
      <c r="B25" s="60">
        <v>3</v>
      </c>
      <c r="C25" s="2088"/>
      <c r="D25" s="2088">
        <v>456813</v>
      </c>
      <c r="E25" s="2106">
        <v>112005</v>
      </c>
      <c r="F25" s="2107"/>
      <c r="G25" s="2088"/>
      <c r="H25" s="2108"/>
      <c r="I25" s="2107">
        <f>500000+230000</f>
        <v>730000</v>
      </c>
      <c r="J25" s="2088">
        <f>530000+243800</f>
        <v>773800</v>
      </c>
      <c r="K25" s="2106">
        <f>561800+258428</f>
        <v>820228</v>
      </c>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1498</v>
      </c>
      <c r="B27" s="60"/>
      <c r="C27" s="96">
        <f>SUM(C28:C41)</f>
        <v>1993634</v>
      </c>
      <c r="D27" s="96">
        <f t="shared" ref="D27:K27" si="6">SUM(D28:D41)</f>
        <v>776458</v>
      </c>
      <c r="E27" s="97">
        <f t="shared" si="6"/>
        <v>912102</v>
      </c>
      <c r="F27" s="98">
        <f t="shared" si="6"/>
        <v>2550175.4700000002</v>
      </c>
      <c r="G27" s="96">
        <f t="shared" si="6"/>
        <v>2550175.4700000002</v>
      </c>
      <c r="H27" s="95">
        <f t="shared" si="6"/>
        <v>2550175.4700000002</v>
      </c>
      <c r="I27" s="98">
        <f t="shared" si="6"/>
        <v>324000</v>
      </c>
      <c r="J27" s="96">
        <f t="shared" si="6"/>
        <v>343440</v>
      </c>
      <c r="K27" s="97">
        <f t="shared" si="6"/>
        <v>364046.4</v>
      </c>
      <c r="L27" s="247"/>
    </row>
    <row r="28" spans="1:12" ht="11.25" customHeight="1" x14ac:dyDescent="0.25">
      <c r="A28" s="128" t="s">
        <v>2</v>
      </c>
      <c r="B28" s="60"/>
      <c r="C28" s="2093"/>
      <c r="D28" s="2093"/>
      <c r="E28" s="2387"/>
      <c r="F28" s="2464"/>
      <c r="G28" s="2093"/>
      <c r="H28" s="2484"/>
      <c r="I28" s="2464"/>
      <c r="J28" s="2093"/>
      <c r="K28" s="2387"/>
      <c r="L28" s="1409"/>
    </row>
    <row r="29" spans="1:12" ht="11.25" customHeight="1" x14ac:dyDescent="0.25">
      <c r="A29" s="128" t="s">
        <v>1518</v>
      </c>
      <c r="B29" s="60"/>
      <c r="C29" s="2088"/>
      <c r="D29" s="2088"/>
      <c r="E29" s="2106"/>
      <c r="F29" s="2107"/>
      <c r="G29" s="2088"/>
      <c r="H29" s="2108"/>
      <c r="I29" s="2107"/>
      <c r="J29" s="2088"/>
      <c r="K29" s="2106"/>
      <c r="L29" s="1409"/>
    </row>
    <row r="30" spans="1:12" ht="11.25" customHeight="1" x14ac:dyDescent="0.25">
      <c r="A30" s="128" t="s">
        <v>480</v>
      </c>
      <c r="B30" s="60"/>
      <c r="C30" s="2088"/>
      <c r="D30" s="2088"/>
      <c r="E30" s="2106"/>
      <c r="F30" s="2107"/>
      <c r="G30" s="2088"/>
      <c r="H30" s="2108"/>
      <c r="I30" s="2107"/>
      <c r="J30" s="2088"/>
      <c r="K30" s="2106"/>
      <c r="L30" s="1409"/>
    </row>
    <row r="31" spans="1:12" ht="11.25" customHeight="1" x14ac:dyDescent="0.25">
      <c r="A31" s="128" t="s">
        <v>1</v>
      </c>
      <c r="B31" s="60"/>
      <c r="C31" s="2088"/>
      <c r="D31" s="2088"/>
      <c r="E31" s="2106"/>
      <c r="F31" s="2107"/>
      <c r="G31" s="2088"/>
      <c r="H31" s="2108"/>
      <c r="I31" s="2107"/>
      <c r="J31" s="2088"/>
      <c r="K31" s="2106"/>
      <c r="L31" s="1409"/>
    </row>
    <row r="32" spans="1:12" ht="11.25" customHeight="1" x14ac:dyDescent="0.25">
      <c r="A32" s="128" t="s">
        <v>323</v>
      </c>
      <c r="B32" s="60"/>
      <c r="C32" s="2088"/>
      <c r="D32" s="2088"/>
      <c r="E32" s="2106"/>
      <c r="F32" s="2107"/>
      <c r="G32" s="2088"/>
      <c r="H32" s="2108"/>
      <c r="I32" s="2107"/>
      <c r="J32" s="2088"/>
      <c r="K32" s="2106"/>
      <c r="L32" s="1409"/>
    </row>
    <row r="33" spans="1:15" ht="11.25" customHeight="1" x14ac:dyDescent="0.25">
      <c r="A33" s="128" t="s">
        <v>0</v>
      </c>
      <c r="B33" s="60"/>
      <c r="C33" s="2088"/>
      <c r="D33" s="2088"/>
      <c r="E33" s="2106"/>
      <c r="F33" s="2107"/>
      <c r="G33" s="2088"/>
      <c r="H33" s="2108"/>
      <c r="I33" s="2107"/>
      <c r="J33" s="2088"/>
      <c r="K33" s="2106"/>
      <c r="L33" s="1409"/>
    </row>
    <row r="34" spans="1:15" ht="11.25" customHeight="1" x14ac:dyDescent="0.25">
      <c r="A34" s="128" t="s">
        <v>1519</v>
      </c>
      <c r="B34" s="60"/>
      <c r="C34" s="2088"/>
      <c r="D34" s="2088"/>
      <c r="E34" s="2106"/>
      <c r="F34" s="2107"/>
      <c r="G34" s="2088"/>
      <c r="H34" s="2108"/>
      <c r="I34" s="2107"/>
      <c r="J34" s="2088"/>
      <c r="K34" s="2106"/>
      <c r="L34" s="1409"/>
    </row>
    <row r="35" spans="1:15" ht="11.25" customHeight="1" x14ac:dyDescent="0.25">
      <c r="A35" s="128" t="s">
        <v>914</v>
      </c>
      <c r="B35" s="60"/>
      <c r="C35" s="2088">
        <v>173199</v>
      </c>
      <c r="D35" s="2088"/>
      <c r="E35" s="2106"/>
      <c r="F35" s="2107"/>
      <c r="G35" s="2088"/>
      <c r="H35" s="2108"/>
      <c r="I35" s="2107"/>
      <c r="J35" s="2088"/>
      <c r="K35" s="2106"/>
      <c r="L35" s="1409"/>
    </row>
    <row r="36" spans="1:15" ht="11.25" customHeight="1" x14ac:dyDescent="0.25">
      <c r="A36" s="128" t="s">
        <v>1458</v>
      </c>
      <c r="B36" s="60">
        <v>7</v>
      </c>
      <c r="C36" s="2088"/>
      <c r="D36" s="2088"/>
      <c r="E36" s="2106"/>
      <c r="F36" s="2107"/>
      <c r="G36" s="2088"/>
      <c r="H36" s="2108"/>
      <c r="I36" s="2107"/>
      <c r="J36" s="2088"/>
      <c r="K36" s="2106"/>
      <c r="L36" s="1409"/>
    </row>
    <row r="37" spans="1:15" ht="11.25" customHeight="1" x14ac:dyDescent="0.25">
      <c r="A37" s="128" t="s">
        <v>1232</v>
      </c>
      <c r="B37" s="60"/>
      <c r="C37" s="2088"/>
      <c r="D37" s="2088"/>
      <c r="E37" s="2106"/>
      <c r="F37" s="2107"/>
      <c r="G37" s="2088"/>
      <c r="H37" s="2108"/>
      <c r="I37" s="2107"/>
      <c r="J37" s="2088"/>
      <c r="K37" s="2106"/>
      <c r="L37" s="1409"/>
      <c r="O37" s="247"/>
    </row>
    <row r="38" spans="1:15" ht="11.25" customHeight="1" x14ac:dyDescent="0.25">
      <c r="A38" s="128" t="s">
        <v>681</v>
      </c>
      <c r="B38" s="60"/>
      <c r="C38" s="2088"/>
      <c r="D38" s="2088"/>
      <c r="E38" s="2106"/>
      <c r="F38" s="2107"/>
      <c r="G38" s="2088"/>
      <c r="H38" s="2108"/>
      <c r="I38" s="2107"/>
      <c r="J38" s="2088"/>
      <c r="K38" s="2106"/>
      <c r="L38" s="1409"/>
    </row>
    <row r="39" spans="1:15" ht="11.25" customHeight="1" x14ac:dyDescent="0.25">
      <c r="A39" s="128" t="s">
        <v>478</v>
      </c>
      <c r="B39" s="60"/>
      <c r="C39" s="2088">
        <v>1820435</v>
      </c>
      <c r="D39" s="2088"/>
      <c r="E39" s="2106"/>
      <c r="F39" s="2107"/>
      <c r="G39" s="2088"/>
      <c r="H39" s="2108"/>
      <c r="I39" s="2107"/>
      <c r="J39" s="2088"/>
      <c r="K39" s="2106"/>
      <c r="L39" s="1409"/>
    </row>
    <row r="40" spans="1:15" ht="11.25" customHeight="1" x14ac:dyDescent="0.25">
      <c r="A40" s="128" t="s">
        <v>31</v>
      </c>
      <c r="B40" s="60">
        <v>8</v>
      </c>
      <c r="C40" s="2088"/>
      <c r="D40" s="2088"/>
      <c r="E40" s="2106"/>
      <c r="F40" s="2107"/>
      <c r="G40" s="2088"/>
      <c r="H40" s="2108"/>
      <c r="I40" s="2107"/>
      <c r="J40" s="2088"/>
      <c r="K40" s="2106"/>
      <c r="L40" s="247"/>
    </row>
    <row r="41" spans="1:15" ht="11.25" customHeight="1" x14ac:dyDescent="0.25">
      <c r="A41" s="128" t="s">
        <v>276</v>
      </c>
      <c r="B41" s="60"/>
      <c r="C41" s="2127"/>
      <c r="D41" s="2127">
        <v>776458</v>
      </c>
      <c r="E41" s="2130">
        <v>912102</v>
      </c>
      <c r="F41" s="2485">
        <v>2550175.4700000002</v>
      </c>
      <c r="G41" s="2127">
        <v>2550175.4700000002</v>
      </c>
      <c r="H41" s="2127">
        <v>2550175.4700000002</v>
      </c>
      <c r="I41" s="2485">
        <f>324000</f>
        <v>324000</v>
      </c>
      <c r="J41" s="2127">
        <f>343440</f>
        <v>343440</v>
      </c>
      <c r="K41" s="2130">
        <f>364046.4</f>
        <v>364046.4</v>
      </c>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917</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1205</v>
      </c>
      <c r="B44" s="60"/>
      <c r="C44" s="2098"/>
      <c r="D44" s="2098"/>
      <c r="E44" s="2487"/>
      <c r="F44" s="2488"/>
      <c r="G44" s="2098"/>
      <c r="H44" s="2489"/>
      <c r="I44" s="2488"/>
      <c r="J44" s="2098"/>
      <c r="K44" s="2487"/>
      <c r="L44" s="247"/>
    </row>
    <row r="45" spans="1:15" ht="11.25" customHeight="1" x14ac:dyDescent="0.25">
      <c r="A45" s="132" t="s">
        <v>276</v>
      </c>
      <c r="B45" s="60">
        <v>9</v>
      </c>
      <c r="C45" s="2125"/>
      <c r="D45" s="2125"/>
      <c r="E45" s="2490"/>
      <c r="F45" s="2491"/>
      <c r="G45" s="2125"/>
      <c r="H45" s="2492"/>
      <c r="I45" s="2491"/>
      <c r="J45" s="2125"/>
      <c r="K45" s="2490"/>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918</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3"/>
      <c r="D48" s="2093"/>
      <c r="E48" s="2387"/>
      <c r="F48" s="2464"/>
      <c r="G48" s="2093"/>
      <c r="H48" s="2484"/>
      <c r="I48" s="2464"/>
      <c r="J48" s="2093"/>
      <c r="K48" s="2387"/>
      <c r="L48" s="1409"/>
    </row>
    <row r="49" spans="1:12" ht="11.25" customHeight="1" x14ac:dyDescent="0.25">
      <c r="A49" s="128" t="s">
        <v>276</v>
      </c>
      <c r="B49" s="60"/>
      <c r="C49" s="2127"/>
      <c r="D49" s="2127"/>
      <c r="E49" s="2130"/>
      <c r="F49" s="2485"/>
      <c r="G49" s="2127"/>
      <c r="H49" s="2486"/>
      <c r="I49" s="2485"/>
      <c r="J49" s="2127"/>
      <c r="K49" s="2130"/>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919</v>
      </c>
      <c r="B51" s="60"/>
      <c r="C51" s="96">
        <f>SUM(C52:C63)</f>
        <v>2188240</v>
      </c>
      <c r="D51" s="96">
        <f t="shared" ref="D51:K51" si="9">SUM(D52:D63)</f>
        <v>7946772</v>
      </c>
      <c r="E51" s="97">
        <f t="shared" si="9"/>
        <v>6850081</v>
      </c>
      <c r="F51" s="98">
        <f t="shared" si="9"/>
        <v>9128834.4000000004</v>
      </c>
      <c r="G51" s="96">
        <f t="shared" si="9"/>
        <v>9719366.7400000002</v>
      </c>
      <c r="H51" s="95">
        <f t="shared" si="9"/>
        <v>9719366.7400000002</v>
      </c>
      <c r="I51" s="98">
        <f t="shared" si="9"/>
        <v>7197191.6299999999</v>
      </c>
      <c r="J51" s="96">
        <f t="shared" si="9"/>
        <v>7629023.1399999997</v>
      </c>
      <c r="K51" s="97">
        <f t="shared" si="9"/>
        <v>8086764.5099999998</v>
      </c>
      <c r="L51" s="247"/>
    </row>
    <row r="52" spans="1:12" ht="11.25" customHeight="1" x14ac:dyDescent="0.25">
      <c r="A52" s="132" t="s">
        <v>591</v>
      </c>
      <c r="B52" s="60"/>
      <c r="C52" s="2093">
        <v>1248640</v>
      </c>
      <c r="D52" s="2093">
        <v>4723955</v>
      </c>
      <c r="E52" s="2387">
        <v>4673322</v>
      </c>
      <c r="F52" s="2464">
        <v>4951962.57</v>
      </c>
      <c r="G52" s="2093">
        <v>4951962.57</v>
      </c>
      <c r="H52" s="2093">
        <v>4951962.57</v>
      </c>
      <c r="I52" s="2464">
        <v>5198203.0199999996</v>
      </c>
      <c r="J52" s="2093">
        <v>5510095.21</v>
      </c>
      <c r="K52" s="2387">
        <v>5840700.9199999999</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1193</v>
      </c>
      <c r="B54" s="60"/>
      <c r="C54" s="2088"/>
      <c r="D54" s="2088"/>
      <c r="E54" s="2106"/>
      <c r="F54" s="2107">
        <v>312040.15000000002</v>
      </c>
      <c r="G54" s="2088">
        <v>215466.21000000002</v>
      </c>
      <c r="H54" s="2088">
        <v>215466.21000000002</v>
      </c>
      <c r="I54" s="2107">
        <f>235157.8</f>
        <v>235157.8</v>
      </c>
      <c r="J54" s="2088">
        <f>249267.27</f>
        <v>249267.27</v>
      </c>
      <c r="K54" s="2106">
        <v>264223.3</v>
      </c>
      <c r="L54" s="1409"/>
    </row>
    <row r="55" spans="1:12" ht="11.25" customHeight="1" x14ac:dyDescent="0.25">
      <c r="A55" s="132" t="s">
        <v>592</v>
      </c>
      <c r="B55" s="60"/>
      <c r="C55" s="2088"/>
      <c r="D55" s="2088">
        <v>19786</v>
      </c>
      <c r="E55" s="2106"/>
      <c r="F55" s="2107">
        <v>120000</v>
      </c>
      <c r="G55" s="2088">
        <v>120000</v>
      </c>
      <c r="H55" s="2088">
        <v>120000</v>
      </c>
      <c r="I55" s="2107">
        <f>500000</f>
        <v>500000</v>
      </c>
      <c r="J55" s="2088">
        <f>530000</f>
        <v>530000</v>
      </c>
      <c r="K55" s="2106">
        <f>561800</f>
        <v>561800</v>
      </c>
      <c r="L55" s="1409"/>
    </row>
    <row r="56" spans="1:12" ht="11.25" customHeight="1" x14ac:dyDescent="0.25">
      <c r="A56" s="132" t="s">
        <v>593</v>
      </c>
      <c r="B56" s="60"/>
      <c r="C56" s="2088"/>
      <c r="D56" s="2088"/>
      <c r="E56" s="2106"/>
      <c r="F56" s="2107"/>
      <c r="G56" s="2088"/>
      <c r="H56" s="2088"/>
      <c r="I56" s="2107"/>
      <c r="J56" s="2088"/>
      <c r="K56" s="2106"/>
      <c r="L56" s="1409"/>
    </row>
    <row r="57" spans="1:12" ht="11.25" customHeight="1" x14ac:dyDescent="0.25">
      <c r="A57" s="132" t="s">
        <v>1194</v>
      </c>
      <c r="B57" s="60"/>
      <c r="C57" s="2088"/>
      <c r="D57" s="2088"/>
      <c r="E57" s="2106"/>
      <c r="F57" s="2107"/>
      <c r="G57" s="2088"/>
      <c r="H57" s="2088"/>
      <c r="I57" s="2107"/>
      <c r="J57" s="2088"/>
      <c r="K57" s="2106"/>
      <c r="L57" s="1409"/>
    </row>
    <row r="58" spans="1:12" ht="11.25" customHeight="1" x14ac:dyDescent="0.25">
      <c r="A58" s="132" t="s">
        <v>1195</v>
      </c>
      <c r="B58" s="60"/>
      <c r="C58" s="2088"/>
      <c r="D58" s="2088"/>
      <c r="E58" s="2106"/>
      <c r="F58" s="2107"/>
      <c r="G58" s="2088"/>
      <c r="H58" s="2088"/>
      <c r="I58" s="2107"/>
      <c r="J58" s="2088"/>
      <c r="K58" s="2106"/>
      <c r="L58" s="1408"/>
    </row>
    <row r="59" spans="1:12" ht="11.25" customHeight="1" x14ac:dyDescent="0.25">
      <c r="A59" s="132" t="s">
        <v>1456</v>
      </c>
      <c r="B59" s="60"/>
      <c r="C59" s="2088"/>
      <c r="D59" s="2088"/>
      <c r="E59" s="2106"/>
      <c r="F59" s="2107"/>
      <c r="G59" s="2088"/>
      <c r="H59" s="2088"/>
      <c r="I59" s="2107"/>
      <c r="J59" s="2088"/>
      <c r="K59" s="2106"/>
      <c r="L59" s="1409"/>
    </row>
    <row r="60" spans="1:12" ht="11.25" customHeight="1" x14ac:dyDescent="0.25">
      <c r="A60" s="132" t="s">
        <v>306</v>
      </c>
      <c r="B60" s="60"/>
      <c r="C60" s="2088">
        <v>939600</v>
      </c>
      <c r="D60" s="2088">
        <v>3203031</v>
      </c>
      <c r="E60" s="2106">
        <v>2176759</v>
      </c>
      <c r="F60" s="2107">
        <v>634284.9</v>
      </c>
      <c r="G60" s="2088">
        <v>634284.9</v>
      </c>
      <c r="H60" s="2088">
        <v>634284.9</v>
      </c>
      <c r="I60" s="2107">
        <f>15000+80000+572341.99</f>
        <v>667341.99</v>
      </c>
      <c r="J60" s="2088">
        <f>15900+84800+606682.51</f>
        <v>707382.51</v>
      </c>
      <c r="K60" s="2106">
        <f>16854+89888+643083.46</f>
        <v>749825.46</v>
      </c>
      <c r="L60" s="1409"/>
    </row>
    <row r="61" spans="1:12" ht="11.25" customHeight="1" x14ac:dyDescent="0.25">
      <c r="A61" s="132" t="s">
        <v>305</v>
      </c>
      <c r="B61" s="60"/>
      <c r="C61" s="2088"/>
      <c r="D61" s="2088"/>
      <c r="E61" s="2106"/>
      <c r="F61" s="2107"/>
      <c r="G61" s="2088"/>
      <c r="H61" s="2088"/>
      <c r="I61" s="2107"/>
      <c r="J61" s="2088"/>
      <c r="K61" s="2106"/>
      <c r="L61" s="1409"/>
    </row>
    <row r="62" spans="1:12" ht="11.25" customHeight="1" x14ac:dyDescent="0.25">
      <c r="A62" s="132" t="s">
        <v>594</v>
      </c>
      <c r="B62" s="60"/>
      <c r="C62" s="2088"/>
      <c r="D62" s="2088"/>
      <c r="E62" s="2106"/>
      <c r="F62" s="2107"/>
      <c r="G62" s="2088"/>
      <c r="H62" s="2088"/>
      <c r="I62" s="2107"/>
      <c r="J62" s="2088"/>
      <c r="K62" s="2106"/>
      <c r="L62" s="1409"/>
    </row>
    <row r="63" spans="1:12" ht="11.25" customHeight="1" x14ac:dyDescent="0.25">
      <c r="A63" s="128" t="s">
        <v>276</v>
      </c>
      <c r="B63" s="60"/>
      <c r="C63" s="2127"/>
      <c r="D63" s="2127"/>
      <c r="E63" s="2130"/>
      <c r="F63" s="2485">
        <v>3110546.78</v>
      </c>
      <c r="G63" s="2127">
        <v>3797653.0599999996</v>
      </c>
      <c r="H63" s="2127">
        <v>3797653.0599999996</v>
      </c>
      <c r="I63" s="2485">
        <f>285495.1+10600+8500+5893.72+30000+256000</f>
        <v>596488.81999999995</v>
      </c>
      <c r="J63" s="2127">
        <f>302624.81+11236+9010+6247.34+31800+271360</f>
        <v>632278.15</v>
      </c>
      <c r="K63" s="2130">
        <f>320782.29+11910.16+9550.6+6622.18+33708+287641.6</f>
        <v>670214.82999999984</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1467</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5" t="s">
        <v>1206</v>
      </c>
      <c r="B66" s="60"/>
      <c r="C66" s="2093"/>
      <c r="D66" s="2093"/>
      <c r="E66" s="2387"/>
      <c r="F66" s="2464"/>
      <c r="G66" s="2093"/>
      <c r="H66" s="2484"/>
      <c r="I66" s="2464"/>
      <c r="J66" s="2093"/>
      <c r="K66" s="2387"/>
      <c r="L66" s="247"/>
    </row>
    <row r="67" spans="1:12" ht="11.25" customHeight="1" x14ac:dyDescent="0.25">
      <c r="A67" s="2445"/>
      <c r="B67" s="60"/>
      <c r="C67" s="2127"/>
      <c r="D67" s="2127"/>
      <c r="E67" s="2130"/>
      <c r="F67" s="2485"/>
      <c r="G67" s="2127"/>
      <c r="H67" s="2486"/>
      <c r="I67" s="2485"/>
      <c r="J67" s="2127"/>
      <c r="K67" s="2130"/>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5" t="s">
        <v>1206</v>
      </c>
      <c r="B70" s="60"/>
      <c r="C70" s="2093"/>
      <c r="D70" s="2093"/>
      <c r="E70" s="2387"/>
      <c r="F70" s="2464"/>
      <c r="G70" s="2093"/>
      <c r="H70" s="2484"/>
      <c r="I70" s="2464"/>
      <c r="J70" s="2093"/>
      <c r="K70" s="2387"/>
      <c r="L70" s="247"/>
    </row>
    <row r="71" spans="1:12" ht="11.25" customHeight="1" x14ac:dyDescent="0.25">
      <c r="A71" s="2445"/>
      <c r="B71" s="60"/>
      <c r="C71" s="2127"/>
      <c r="D71" s="2127"/>
      <c r="E71" s="2130"/>
      <c r="F71" s="2485"/>
      <c r="G71" s="2127"/>
      <c r="H71" s="2486"/>
      <c r="I71" s="2485"/>
      <c r="J71" s="2127"/>
      <c r="K71" s="2130"/>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925</v>
      </c>
      <c r="B74" s="60"/>
      <c r="C74" s="2093"/>
      <c r="D74" s="2093"/>
      <c r="E74" s="2387"/>
      <c r="F74" s="2464"/>
      <c r="G74" s="2093"/>
      <c r="H74" s="2484"/>
      <c r="I74" s="2464"/>
      <c r="J74" s="2093"/>
      <c r="K74" s="2387"/>
      <c r="L74" s="247"/>
    </row>
    <row r="75" spans="1:12" ht="11.25" customHeight="1" x14ac:dyDescent="0.25">
      <c r="A75" s="2418" t="s">
        <v>579</v>
      </c>
      <c r="B75" s="60"/>
      <c r="C75" s="2127"/>
      <c r="D75" s="2127"/>
      <c r="E75" s="2130"/>
      <c r="F75" s="2485"/>
      <c r="G75" s="2127"/>
      <c r="H75" s="2486"/>
      <c r="I75" s="2485"/>
      <c r="J75" s="2127"/>
      <c r="K75" s="2130"/>
      <c r="L75" s="247"/>
    </row>
    <row r="76" spans="1:12" ht="5.0999999999999996" customHeight="1" x14ac:dyDescent="0.25">
      <c r="A76" s="151"/>
      <c r="B76" s="60"/>
      <c r="C76" s="96"/>
      <c r="D76" s="96"/>
      <c r="E76" s="97"/>
      <c r="F76" s="98"/>
      <c r="G76" s="96"/>
      <c r="H76" s="95"/>
      <c r="I76" s="98"/>
      <c r="J76" s="96"/>
      <c r="K76" s="97"/>
      <c r="L76" s="247"/>
    </row>
    <row r="77" spans="1:12" x14ac:dyDescent="0.25">
      <c r="A77" s="159" t="s">
        <v>1176</v>
      </c>
      <c r="B77" s="103">
        <v>1</v>
      </c>
      <c r="C77" s="108">
        <f t="shared" ref="C77:K77" si="14">C6+C27+C43+C47+C51+C73+C65+C69</f>
        <v>9743412</v>
      </c>
      <c r="D77" s="108">
        <f t="shared" si="14"/>
        <v>9180043</v>
      </c>
      <c r="E77" s="106">
        <f t="shared" si="14"/>
        <v>7874188</v>
      </c>
      <c r="F77" s="107">
        <f t="shared" si="14"/>
        <v>13545812.27</v>
      </c>
      <c r="G77" s="108">
        <f>G6+G27+G43+G47+G51+G73+G65+G69</f>
        <v>12729542.210000001</v>
      </c>
      <c r="H77" s="109">
        <f t="shared" si="14"/>
        <v>12729542.210000001</v>
      </c>
      <c r="I77" s="107">
        <f t="shared" si="14"/>
        <v>13093442.809999999</v>
      </c>
      <c r="J77" s="108">
        <f t="shared" si="14"/>
        <v>13879049.390000001</v>
      </c>
      <c r="K77" s="106">
        <f t="shared" si="14"/>
        <v>14711792.34</v>
      </c>
      <c r="L77" s="247"/>
    </row>
    <row r="78" spans="1:12" x14ac:dyDescent="0.25">
      <c r="A78" s="1868"/>
      <c r="B78" s="1869"/>
      <c r="C78" s="1134"/>
      <c r="D78" s="1134"/>
      <c r="E78" s="1134"/>
      <c r="F78" s="1134"/>
      <c r="G78" s="1134"/>
      <c r="H78" s="1134"/>
      <c r="I78" s="1134"/>
      <c r="J78" s="1134"/>
      <c r="K78" s="1134"/>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1238</v>
      </c>
      <c r="B80" s="1866"/>
      <c r="C80" s="2090"/>
      <c r="D80" s="2088"/>
      <c r="E80" s="2091"/>
      <c r="F80" s="2090"/>
      <c r="G80" s="2088"/>
      <c r="H80" s="2091"/>
      <c r="I80" s="2090"/>
      <c r="J80" s="2088"/>
      <c r="K80" s="2091"/>
      <c r="L80" s="247"/>
    </row>
    <row r="81" spans="1:12" x14ac:dyDescent="0.25">
      <c r="A81" s="68" t="s">
        <v>1457</v>
      </c>
      <c r="B81" s="1866"/>
      <c r="C81" s="2090"/>
      <c r="D81" s="2088"/>
      <c r="E81" s="2091"/>
      <c r="F81" s="2090"/>
      <c r="G81" s="2088"/>
      <c r="H81" s="2091"/>
      <c r="I81" s="2090"/>
      <c r="J81" s="2088"/>
      <c r="K81" s="2091"/>
      <c r="L81" s="247"/>
    </row>
    <row r="82" spans="1:12" x14ac:dyDescent="0.25">
      <c r="A82" s="68" t="s">
        <v>1628</v>
      </c>
      <c r="B82" s="1866"/>
      <c r="C82" s="2090"/>
      <c r="D82" s="2088"/>
      <c r="E82" s="2091"/>
      <c r="F82" s="2090"/>
      <c r="G82" s="2088"/>
      <c r="H82" s="2091"/>
      <c r="I82" s="2090"/>
      <c r="J82" s="2088"/>
      <c r="K82" s="2091"/>
      <c r="L82" s="247"/>
    </row>
    <row r="83" spans="1:12" x14ac:dyDescent="0.25">
      <c r="A83" s="1172" t="s">
        <v>1629</v>
      </c>
      <c r="B83" s="1867"/>
      <c r="C83" s="2168"/>
      <c r="D83" s="2164"/>
      <c r="E83" s="2493"/>
      <c r="F83" s="2168"/>
      <c r="G83" s="2164"/>
      <c r="H83" s="2493"/>
      <c r="I83" s="2168"/>
      <c r="J83" s="2164"/>
      <c r="K83" s="2493"/>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70" t="s">
        <v>881</v>
      </c>
      <c r="B85" s="1871"/>
      <c r="C85" s="1872">
        <f>IF(ISERROR(ROUND(C77/'A6-FinPos'!C19,3)),0,(ROUND(C77/'A6-FinPos'!C19,3)))</f>
        <v>0</v>
      </c>
      <c r="D85" s="1872">
        <f>IF(ISERROR(ROUND(D77/'A6-FinPos'!D19,3)),0,(ROUND(D77/'A6-FinPos'!D19,3)))</f>
        <v>1.2E-2</v>
      </c>
      <c r="E85" s="1873">
        <f>IF(ISERROR(ROUND(E77/'A6-FinPos'!E19,3)),0,(ROUND(E77/'A6-FinPos'!E19,3)))</f>
        <v>0.01</v>
      </c>
      <c r="F85" s="1874">
        <f>IF(ISERROR(ROUND(F77/'A6-FinPos'!F19,3)),0,(ROUND(F77/'A6-FinPos'!F19,3)))</f>
        <v>0.17299999999999999</v>
      </c>
      <c r="G85" s="1872">
        <f>IF(ISERROR(ROUND(G77/'A6-FinPos'!G19,3)),0,(ROUND(G77/'A6-FinPos'!G19,3)))</f>
        <v>0.16300000000000001</v>
      </c>
      <c r="H85" s="1875">
        <f>IF(ISERROR(ROUND(H77/'A6-FinPos'!H19,3)),0,(ROUND(H77/'A6-FinPos'!H19,3)))</f>
        <v>0.16300000000000001</v>
      </c>
      <c r="I85" s="1876">
        <f>IF(ISERROR(ROUND(I77/'A6-FinPos'!J19,3)),0,(ROUND(I77/'A6-FinPos'!J19,3)))</f>
        <v>0.158</v>
      </c>
      <c r="J85" s="1872">
        <f>IF(ISERROR(ROUND(J77/'A6-FinPos'!K19,3)),0,(ROUND(J77/'A6-FinPos'!K19,3)))</f>
        <v>0.158</v>
      </c>
      <c r="K85" s="1873">
        <f>IF(ISERROR(ROUND(K77/'A6-FinPos'!L19,3)),0,(ROUND(K77/'A6-FinPos'!L19,3)))</f>
        <v>0.158</v>
      </c>
      <c r="L85" s="247"/>
    </row>
    <row r="86" spans="1:12" x14ac:dyDescent="0.25">
      <c r="A86" s="1858" t="s">
        <v>1976</v>
      </c>
      <c r="B86" s="1859"/>
      <c r="C86" s="1860">
        <f>IF(ISERROR(ROUND(C77/'A1-Sum'!B18,3)),0,(ROUND(C77/'A1-Sum'!B18,3)))</f>
        <v>6.4000000000000001E-2</v>
      </c>
      <c r="D86" s="1860">
        <f>IF(ISERROR(ROUND(D77/'A1-Sum'!C18,3)),0,(ROUND(D77/'A1-Sum'!C18,3)))</f>
        <v>5.5E-2</v>
      </c>
      <c r="E86" s="1861">
        <f>IF(ISERROR(ROUND(E77/'A1-Sum'!D18,3)),0,(ROUND(E77/'A1-Sum'!D18,3)))</f>
        <v>4.3999999999999997E-2</v>
      </c>
      <c r="F86" s="1862">
        <f>IF(ISERROR(ROUND(F77/'A1-Sum'!E18,3)),0,(ROUND(F77/'A1-Sum'!E18,3)))</f>
        <v>4.3999999999999997E-2</v>
      </c>
      <c r="G86" s="1860">
        <f>IF(ISERROR(ROUND(G77/'A1-Sum'!F18,3)),0,(ROUND(G77/'A1-Sum'!F18,3)))</f>
        <v>4.2999999999999997E-2</v>
      </c>
      <c r="H86" s="1863">
        <f>IF(ISERROR(ROUND(H77/'A1-Sum'!G18,3)),0,(ROUND(H77/'A1-Sum'!G18,3)))</f>
        <v>4.2999999999999997E-2</v>
      </c>
      <c r="I86" s="1864">
        <f>IF(ISERROR(ROUND(I77/'A1-Sum'!I18,3)),0,(ROUND(I77/'A1-Sum'!I18,3)))</f>
        <v>4.2000000000000003E-2</v>
      </c>
      <c r="J86" s="1860">
        <f>IF(ISERROR(ROUND(J77/'A1-Sum'!J18,3)),0,(ROUND(J77/'A1-Sum'!J18,3)))</f>
        <v>4.2000000000000003E-2</v>
      </c>
      <c r="K86" s="1861">
        <f>IF(ISERROR(ROUND(K77/'A1-Sum'!K18,3)),0,(ROUND(K77/'A1-Sum'!K18,3)))</f>
        <v>4.2000000000000003E-2</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1177</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867</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1586</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1280</v>
      </c>
      <c r="B95" s="897"/>
      <c r="C95" s="900"/>
      <c r="D95" s="900"/>
      <c r="E95" s="901"/>
      <c r="F95" s="901"/>
      <c r="G95" s="901"/>
      <c r="H95" s="901"/>
      <c r="I95" s="901"/>
      <c r="J95" s="901"/>
      <c r="K95" s="901"/>
    </row>
    <row r="96" spans="1:12" s="586" customFormat="1" ht="11.25" customHeight="1" x14ac:dyDescent="0.25">
      <c r="A96" s="1368" t="s">
        <v>1281</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0</v>
      </c>
      <c r="D100" s="133">
        <f>D77-'SA1'!D164</f>
        <v>0</v>
      </c>
      <c r="E100" s="133">
        <f>E77-'SA1'!E164</f>
        <v>0</v>
      </c>
      <c r="F100" s="133">
        <f>F77-'SA1'!F164</f>
        <v>0</v>
      </c>
      <c r="G100" s="133">
        <f>G77-'SA1'!G164</f>
        <v>0</v>
      </c>
      <c r="H100" s="133">
        <f>H77-'SA1'!H164</f>
        <v>0</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5" activePane="bottomRight" state="frozen"/>
      <selection pane="topRight"/>
      <selection pane="bottomLeft"/>
      <selection pane="bottomRight" activeCell="I97" sqref="I9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LIM471 Ephraim Mogale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53" t="str">
        <f>Head2</f>
        <v>Current Year 2015/16</v>
      </c>
      <c r="G2" s="2654"/>
      <c r="H2" s="2654"/>
      <c r="I2" s="2650" t="str">
        <f>Head3</f>
        <v>2016/17 Medium Term Revenue &amp; Expenditure Framework</v>
      </c>
      <c r="J2" s="2651"/>
      <c r="K2" s="265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1948</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929</v>
      </c>
      <c r="B6" s="60"/>
      <c r="C6" s="271">
        <f>C7+C10+C14+C18+C21</f>
        <v>0</v>
      </c>
      <c r="D6" s="271">
        <f t="shared" ref="D6:K6" si="0">D7+D10+D14+D18+D21</f>
        <v>0</v>
      </c>
      <c r="E6" s="223">
        <f t="shared" si="0"/>
        <v>7229618.5</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8"/>
      <c r="D8" s="2088"/>
      <c r="E8" s="2106"/>
      <c r="F8" s="2107"/>
      <c r="G8" s="2088"/>
      <c r="H8" s="2108"/>
      <c r="I8" s="2107"/>
      <c r="J8" s="2088"/>
      <c r="K8" s="2106"/>
      <c r="L8" s="1408"/>
    </row>
    <row r="9" spans="1:12" s="1385" customFormat="1" ht="13.5" x14ac:dyDescent="0.25">
      <c r="A9" s="1147" t="s">
        <v>512</v>
      </c>
      <c r="B9" s="60"/>
      <c r="C9" s="2088"/>
      <c r="D9" s="2088"/>
      <c r="E9" s="2106"/>
      <c r="F9" s="2107"/>
      <c r="G9" s="2088"/>
      <c r="H9" s="2108"/>
      <c r="I9" s="2107"/>
      <c r="J9" s="2088"/>
      <c r="K9" s="2106"/>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8"/>
      <c r="D11" s="2088"/>
      <c r="E11" s="2089"/>
      <c r="F11" s="2090"/>
      <c r="G11" s="2088"/>
      <c r="H11" s="2091"/>
      <c r="I11" s="2092"/>
      <c r="J11" s="2088"/>
      <c r="K11" s="2091"/>
      <c r="L11" s="1409"/>
    </row>
    <row r="12" spans="1:12" s="1385" customFormat="1" ht="13.5" x14ac:dyDescent="0.25">
      <c r="A12" s="1147" t="s">
        <v>23</v>
      </c>
      <c r="B12" s="60"/>
      <c r="C12" s="2088"/>
      <c r="D12" s="2088"/>
      <c r="E12" s="2089"/>
      <c r="F12" s="2090"/>
      <c r="G12" s="2088"/>
      <c r="H12" s="2091"/>
      <c r="I12" s="2092"/>
      <c r="J12" s="2088"/>
      <c r="K12" s="2091"/>
      <c r="L12" s="1409"/>
    </row>
    <row r="13" spans="1:12" s="1385" customFormat="1" ht="13.5" x14ac:dyDescent="0.25">
      <c r="A13" s="1147" t="s">
        <v>137</v>
      </c>
      <c r="B13" s="60"/>
      <c r="C13" s="2088"/>
      <c r="D13" s="2088"/>
      <c r="E13" s="2089"/>
      <c r="F13" s="2090"/>
      <c r="G13" s="2088"/>
      <c r="H13" s="2091"/>
      <c r="I13" s="2092"/>
      <c r="J13" s="2088"/>
      <c r="K13" s="2091"/>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8"/>
      <c r="D15" s="2088"/>
      <c r="E15" s="2089"/>
      <c r="F15" s="2090"/>
      <c r="G15" s="2088"/>
      <c r="H15" s="2091"/>
      <c r="I15" s="2092"/>
      <c r="J15" s="2088"/>
      <c r="K15" s="2091"/>
      <c r="L15" s="1409"/>
    </row>
    <row r="16" spans="1:12" s="1385" customFormat="1" ht="13.5" x14ac:dyDescent="0.25">
      <c r="A16" s="1147" t="s">
        <v>26</v>
      </c>
      <c r="B16" s="60"/>
      <c r="C16" s="2088"/>
      <c r="D16" s="2088"/>
      <c r="E16" s="2089"/>
      <c r="F16" s="2090"/>
      <c r="G16" s="2088"/>
      <c r="H16" s="2091"/>
      <c r="I16" s="2092"/>
      <c r="J16" s="2088"/>
      <c r="K16" s="2091"/>
      <c r="L16" s="1409"/>
    </row>
    <row r="17" spans="1:12" s="1385" customFormat="1" ht="13.5" x14ac:dyDescent="0.25">
      <c r="A17" s="1147" t="s">
        <v>27</v>
      </c>
      <c r="B17" s="60"/>
      <c r="C17" s="2088"/>
      <c r="D17" s="2088"/>
      <c r="E17" s="2089"/>
      <c r="F17" s="2090"/>
      <c r="G17" s="2088"/>
      <c r="H17" s="2091"/>
      <c r="I17" s="2092"/>
      <c r="J17" s="2088"/>
      <c r="K17" s="2091"/>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8"/>
      <c r="D19" s="2088"/>
      <c r="E19" s="2089"/>
      <c r="F19" s="2090"/>
      <c r="G19" s="2088"/>
      <c r="H19" s="2091"/>
      <c r="I19" s="2092"/>
      <c r="J19" s="2088"/>
      <c r="K19" s="2091"/>
      <c r="L19" s="1409"/>
    </row>
    <row r="20" spans="1:12" s="1385" customFormat="1" ht="13.5" x14ac:dyDescent="0.25">
      <c r="A20" s="1147" t="s">
        <v>29</v>
      </c>
      <c r="B20" s="60"/>
      <c r="C20" s="2088"/>
      <c r="D20" s="2088"/>
      <c r="E20" s="2089"/>
      <c r="F20" s="2090"/>
      <c r="G20" s="2088"/>
      <c r="H20" s="2091"/>
      <c r="I20" s="2092"/>
      <c r="J20" s="2088"/>
      <c r="K20" s="2091"/>
      <c r="L20" s="1409"/>
    </row>
    <row r="21" spans="1:12" s="1385" customFormat="1" ht="13.5" x14ac:dyDescent="0.25">
      <c r="A21" s="128" t="s">
        <v>30</v>
      </c>
      <c r="B21" s="60"/>
      <c r="C21" s="923">
        <f>SUM(C22:C25)</f>
        <v>0</v>
      </c>
      <c r="D21" s="923">
        <f t="shared" ref="D21:K21" si="5">SUM(D22:D25)</f>
        <v>0</v>
      </c>
      <c r="E21" s="923">
        <f t="shared" si="5"/>
        <v>7229618.5</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1037</v>
      </c>
      <c r="B22" s="60"/>
      <c r="C22" s="2088"/>
      <c r="D22" s="2088"/>
      <c r="E22" s="2108"/>
      <c r="F22" s="2107"/>
      <c r="G22" s="2088"/>
      <c r="H22" s="2108"/>
      <c r="I22" s="2107"/>
      <c r="J22" s="2088"/>
      <c r="K22" s="2091"/>
      <c r="L22" s="1408"/>
    </row>
    <row r="23" spans="1:12" s="1385" customFormat="1" ht="13.5" x14ac:dyDescent="0.25">
      <c r="A23" s="1147" t="s">
        <v>304</v>
      </c>
      <c r="B23" s="60">
        <v>2</v>
      </c>
      <c r="C23" s="2088"/>
      <c r="D23" s="2088"/>
      <c r="E23" s="2106"/>
      <c r="F23" s="2107"/>
      <c r="G23" s="2088"/>
      <c r="H23" s="2108"/>
      <c r="I23" s="2107"/>
      <c r="J23" s="2088"/>
      <c r="K23" s="2091"/>
      <c r="L23" s="1409"/>
    </row>
    <row r="24" spans="1:12" s="1385" customFormat="1" ht="13.5" x14ac:dyDescent="0.25">
      <c r="A24" s="1147" t="s">
        <v>138</v>
      </c>
      <c r="B24" s="60"/>
      <c r="C24" s="2088"/>
      <c r="D24" s="2088"/>
      <c r="E24" s="2106"/>
      <c r="F24" s="2107"/>
      <c r="G24" s="2088"/>
      <c r="H24" s="2108"/>
      <c r="I24" s="2107"/>
      <c r="J24" s="2088"/>
      <c r="K24" s="2106"/>
      <c r="L24" s="1409"/>
    </row>
    <row r="25" spans="1:12" s="1385" customFormat="1" ht="13.5" x14ac:dyDescent="0.25">
      <c r="A25" s="1147" t="s">
        <v>276</v>
      </c>
      <c r="B25" s="60">
        <v>3</v>
      </c>
      <c r="C25" s="2088"/>
      <c r="D25" s="2088"/>
      <c r="E25" s="2106">
        <v>7229618.5</v>
      </c>
      <c r="F25" s="2107"/>
      <c r="G25" s="2088"/>
      <c r="H25" s="2108"/>
      <c r="I25" s="2107"/>
      <c r="J25" s="2088"/>
      <c r="K25" s="2106"/>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1498</v>
      </c>
      <c r="B27" s="60"/>
      <c r="C27" s="96">
        <f>SUM(C28:C41)</f>
        <v>0</v>
      </c>
      <c r="D27" s="96">
        <f t="shared" ref="D27:K27" si="6">SUM(D28:D41)</f>
        <v>74164.06</v>
      </c>
      <c r="E27" s="97">
        <f t="shared" si="6"/>
        <v>1023278.6699999999</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93"/>
      <c r="D28" s="2093"/>
      <c r="E28" s="2387"/>
      <c r="F28" s="2464"/>
      <c r="G28" s="2093"/>
      <c r="H28" s="2484"/>
      <c r="I28" s="2464"/>
      <c r="J28" s="2093"/>
      <c r="K28" s="2387"/>
      <c r="L28" s="1409"/>
    </row>
    <row r="29" spans="1:12" ht="11.25" customHeight="1" x14ac:dyDescent="0.25">
      <c r="A29" s="128" t="s">
        <v>1518</v>
      </c>
      <c r="B29" s="60"/>
      <c r="C29" s="2088"/>
      <c r="D29" s="2088"/>
      <c r="E29" s="2106"/>
      <c r="F29" s="2107"/>
      <c r="G29" s="2088"/>
      <c r="H29" s="2108"/>
      <c r="I29" s="2107"/>
      <c r="J29" s="2088"/>
      <c r="K29" s="2106"/>
      <c r="L29" s="1409"/>
    </row>
    <row r="30" spans="1:12" ht="11.25" customHeight="1" x14ac:dyDescent="0.25">
      <c r="A30" s="128" t="s">
        <v>480</v>
      </c>
      <c r="B30" s="60"/>
      <c r="C30" s="2088"/>
      <c r="D30" s="2088"/>
      <c r="E30" s="2106"/>
      <c r="F30" s="2107"/>
      <c r="G30" s="2088"/>
      <c r="H30" s="2108"/>
      <c r="I30" s="2107"/>
      <c r="J30" s="2088"/>
      <c r="K30" s="2106"/>
      <c r="L30" s="1409"/>
    </row>
    <row r="31" spans="1:12" ht="11.25" customHeight="1" x14ac:dyDescent="0.25">
      <c r="A31" s="128" t="s">
        <v>1</v>
      </c>
      <c r="B31" s="60"/>
      <c r="C31" s="2088"/>
      <c r="D31" s="2088">
        <v>74164.06</v>
      </c>
      <c r="E31" s="2106"/>
      <c r="F31" s="2107"/>
      <c r="G31" s="2088"/>
      <c r="H31" s="2108"/>
      <c r="I31" s="2107"/>
      <c r="J31" s="2088"/>
      <c r="K31" s="2106"/>
      <c r="L31" s="1409"/>
    </row>
    <row r="32" spans="1:12" ht="11.25" customHeight="1" x14ac:dyDescent="0.25">
      <c r="A32" s="128" t="s">
        <v>323</v>
      </c>
      <c r="B32" s="60"/>
      <c r="C32" s="2088"/>
      <c r="D32" s="2088"/>
      <c r="E32" s="2106"/>
      <c r="F32" s="2107"/>
      <c r="G32" s="2088"/>
      <c r="H32" s="2108"/>
      <c r="I32" s="2107"/>
      <c r="J32" s="2088"/>
      <c r="K32" s="2106"/>
      <c r="L32" s="1409"/>
    </row>
    <row r="33" spans="1:15" ht="11.25" customHeight="1" x14ac:dyDescent="0.25">
      <c r="A33" s="128" t="s">
        <v>0</v>
      </c>
      <c r="B33" s="60"/>
      <c r="C33" s="2088"/>
      <c r="D33" s="2088"/>
      <c r="E33" s="2106"/>
      <c r="F33" s="2107"/>
      <c r="G33" s="2088"/>
      <c r="H33" s="2108"/>
      <c r="I33" s="2107"/>
      <c r="J33" s="2088"/>
      <c r="K33" s="2106"/>
      <c r="L33" s="1409"/>
    </row>
    <row r="34" spans="1:15" ht="11.25" customHeight="1" x14ac:dyDescent="0.25">
      <c r="A34" s="128" t="s">
        <v>1519</v>
      </c>
      <c r="B34" s="60"/>
      <c r="C34" s="2088"/>
      <c r="D34" s="2088"/>
      <c r="E34" s="2106"/>
      <c r="F34" s="2107"/>
      <c r="G34" s="2088"/>
      <c r="H34" s="2108"/>
      <c r="I34" s="2107"/>
      <c r="J34" s="2088"/>
      <c r="K34" s="2106"/>
      <c r="L34" s="1409"/>
    </row>
    <row r="35" spans="1:15" ht="11.25" customHeight="1" x14ac:dyDescent="0.25">
      <c r="A35" s="128" t="s">
        <v>914</v>
      </c>
      <c r="B35" s="60"/>
      <c r="C35" s="2088"/>
      <c r="D35" s="2088"/>
      <c r="E35" s="2106"/>
      <c r="F35" s="2107"/>
      <c r="G35" s="2088"/>
      <c r="H35" s="2108"/>
      <c r="I35" s="2107"/>
      <c r="J35" s="2088"/>
      <c r="K35" s="2106"/>
      <c r="L35" s="1409"/>
    </row>
    <row r="36" spans="1:15" ht="11.25" customHeight="1" x14ac:dyDescent="0.25">
      <c r="A36" s="128" t="s">
        <v>1458</v>
      </c>
      <c r="B36" s="60">
        <v>7</v>
      </c>
      <c r="C36" s="2088"/>
      <c r="D36" s="2088"/>
      <c r="E36" s="2106"/>
      <c r="F36" s="2107"/>
      <c r="G36" s="2088"/>
      <c r="H36" s="2108"/>
      <c r="I36" s="2107"/>
      <c r="J36" s="2088"/>
      <c r="K36" s="2106"/>
      <c r="L36" s="1409"/>
    </row>
    <row r="37" spans="1:15" ht="11.25" customHeight="1" x14ac:dyDescent="0.25">
      <c r="A37" s="128" t="s">
        <v>1232</v>
      </c>
      <c r="B37" s="60"/>
      <c r="C37" s="2088"/>
      <c r="D37" s="2088"/>
      <c r="E37" s="2106"/>
      <c r="F37" s="2107"/>
      <c r="G37" s="2088"/>
      <c r="H37" s="2108"/>
      <c r="I37" s="2107"/>
      <c r="J37" s="2088"/>
      <c r="K37" s="2106"/>
      <c r="L37" s="1409"/>
      <c r="O37" s="247"/>
    </row>
    <row r="38" spans="1:15" ht="11.25" customHeight="1" x14ac:dyDescent="0.25">
      <c r="A38" s="128" t="s">
        <v>681</v>
      </c>
      <c r="B38" s="60"/>
      <c r="C38" s="2088"/>
      <c r="D38" s="2088"/>
      <c r="E38" s="2106"/>
      <c r="F38" s="2107"/>
      <c r="G38" s="2088"/>
      <c r="H38" s="2108"/>
      <c r="I38" s="2107"/>
      <c r="J38" s="2088"/>
      <c r="K38" s="2106"/>
      <c r="L38" s="1409"/>
    </row>
    <row r="39" spans="1:15" ht="11.25" customHeight="1" x14ac:dyDescent="0.25">
      <c r="A39" s="128" t="s">
        <v>478</v>
      </c>
      <c r="B39" s="60"/>
      <c r="C39" s="2088"/>
      <c r="D39" s="2088"/>
      <c r="E39" s="2106"/>
      <c r="F39" s="2107"/>
      <c r="G39" s="2088"/>
      <c r="H39" s="2108"/>
      <c r="I39" s="2107"/>
      <c r="J39" s="2088"/>
      <c r="K39" s="2106"/>
      <c r="L39" s="1409"/>
    </row>
    <row r="40" spans="1:15" ht="11.25" customHeight="1" x14ac:dyDescent="0.25">
      <c r="A40" s="128" t="s">
        <v>31</v>
      </c>
      <c r="B40" s="60">
        <v>8</v>
      </c>
      <c r="C40" s="2088"/>
      <c r="D40" s="2088"/>
      <c r="E40" s="2106"/>
      <c r="F40" s="2107"/>
      <c r="G40" s="2088"/>
      <c r="H40" s="2108"/>
      <c r="I40" s="2107"/>
      <c r="J40" s="2088"/>
      <c r="K40" s="2106"/>
      <c r="L40" s="247"/>
    </row>
    <row r="41" spans="1:15" ht="11.25" customHeight="1" x14ac:dyDescent="0.25">
      <c r="A41" s="128" t="s">
        <v>276</v>
      </c>
      <c r="B41" s="60"/>
      <c r="C41" s="2127"/>
      <c r="D41" s="2127"/>
      <c r="E41" s="2130">
        <f>795485.09+227793.58</f>
        <v>1023278.6699999999</v>
      </c>
      <c r="F41" s="2485"/>
      <c r="G41" s="2127"/>
      <c r="H41" s="2486"/>
      <c r="I41" s="2485"/>
      <c r="J41" s="2127"/>
      <c r="K41" s="2130"/>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917</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1205</v>
      </c>
      <c r="B44" s="60"/>
      <c r="C44" s="2098"/>
      <c r="D44" s="2098"/>
      <c r="E44" s="2487"/>
      <c r="F44" s="2488"/>
      <c r="G44" s="2098"/>
      <c r="H44" s="2489"/>
      <c r="I44" s="2488"/>
      <c r="J44" s="2098"/>
      <c r="K44" s="2487"/>
      <c r="L44" s="247"/>
    </row>
    <row r="45" spans="1:15" ht="11.25" customHeight="1" x14ac:dyDescent="0.25">
      <c r="A45" s="132" t="s">
        <v>276</v>
      </c>
      <c r="B45" s="60">
        <v>9</v>
      </c>
      <c r="C45" s="2125"/>
      <c r="D45" s="2125"/>
      <c r="E45" s="2490"/>
      <c r="F45" s="2491"/>
      <c r="G45" s="2125"/>
      <c r="H45" s="2492"/>
      <c r="I45" s="2491"/>
      <c r="J45" s="2125"/>
      <c r="K45" s="2490"/>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918</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3"/>
      <c r="D48" s="2093"/>
      <c r="E48" s="2387"/>
      <c r="F48" s="2464"/>
      <c r="G48" s="2093"/>
      <c r="H48" s="2484"/>
      <c r="I48" s="2464"/>
      <c r="J48" s="2093"/>
      <c r="K48" s="2387"/>
      <c r="L48" s="1409"/>
    </row>
    <row r="49" spans="1:12" ht="11.25" customHeight="1" x14ac:dyDescent="0.25">
      <c r="A49" s="128" t="s">
        <v>276</v>
      </c>
      <c r="B49" s="60"/>
      <c r="C49" s="2127"/>
      <c r="D49" s="2127"/>
      <c r="E49" s="2130"/>
      <c r="F49" s="2485"/>
      <c r="G49" s="2127"/>
      <c r="H49" s="2486"/>
      <c r="I49" s="2485"/>
      <c r="J49" s="2127"/>
      <c r="K49" s="2130"/>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919</v>
      </c>
      <c r="B51" s="60"/>
      <c r="C51" s="96">
        <f>SUM(C52:C63)</f>
        <v>37802336.079999998</v>
      </c>
      <c r="D51" s="96">
        <f t="shared" ref="D51:K51" si="9">SUM(D52:D63)</f>
        <v>37886401.229999997</v>
      </c>
      <c r="E51" s="97">
        <f t="shared" si="9"/>
        <v>32468678.779999997</v>
      </c>
      <c r="F51" s="98">
        <f t="shared" si="9"/>
        <v>42400000</v>
      </c>
      <c r="G51" s="96">
        <f t="shared" si="9"/>
        <v>42400000</v>
      </c>
      <c r="H51" s="95">
        <f t="shared" si="9"/>
        <v>42400000</v>
      </c>
      <c r="I51" s="98">
        <f t="shared" si="9"/>
        <v>44944000</v>
      </c>
      <c r="J51" s="96">
        <f t="shared" si="9"/>
        <v>47640640</v>
      </c>
      <c r="K51" s="97">
        <f t="shared" si="9"/>
        <v>50499078.399999999</v>
      </c>
      <c r="L51" s="247"/>
    </row>
    <row r="52" spans="1:12" ht="11.25" customHeight="1" x14ac:dyDescent="0.25">
      <c r="A52" s="132" t="s">
        <v>591</v>
      </c>
      <c r="B52" s="60"/>
      <c r="C52" s="2093"/>
      <c r="D52" s="2093"/>
      <c r="E52" s="2387">
        <f>801054.34+728533.6</f>
        <v>1529587.94</v>
      </c>
      <c r="F52" s="2464"/>
      <c r="G52" s="2093"/>
      <c r="H52" s="2484"/>
      <c r="I52" s="2464"/>
      <c r="J52" s="2093"/>
      <c r="K52" s="2387"/>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1193</v>
      </c>
      <c r="B54" s="60"/>
      <c r="C54" s="2088"/>
      <c r="D54" s="2088"/>
      <c r="E54" s="2106">
        <f>3257087.77+447000</f>
        <v>3704087.77</v>
      </c>
      <c r="F54" s="2107"/>
      <c r="G54" s="2088"/>
      <c r="H54" s="2108"/>
      <c r="I54" s="2107"/>
      <c r="J54" s="2088"/>
      <c r="K54" s="2106"/>
      <c r="L54" s="1409"/>
    </row>
    <row r="55" spans="1:12" ht="11.25" customHeight="1" x14ac:dyDescent="0.25">
      <c r="A55" s="132" t="s">
        <v>592</v>
      </c>
      <c r="B55" s="60"/>
      <c r="C55" s="2088"/>
      <c r="D55" s="2088"/>
      <c r="E55" s="2106"/>
      <c r="F55" s="2107"/>
      <c r="G55" s="2088"/>
      <c r="H55" s="2108"/>
      <c r="I55" s="2107"/>
      <c r="J55" s="2088"/>
      <c r="K55" s="2106"/>
      <c r="L55" s="1409"/>
    </row>
    <row r="56" spans="1:12" ht="11.25" customHeight="1" x14ac:dyDescent="0.25">
      <c r="A56" s="132" t="s">
        <v>593</v>
      </c>
      <c r="B56" s="60"/>
      <c r="C56" s="2088"/>
      <c r="D56" s="2088"/>
      <c r="E56" s="2106">
        <v>692422.54</v>
      </c>
      <c r="F56" s="2107"/>
      <c r="G56" s="2088"/>
      <c r="H56" s="2108"/>
      <c r="I56" s="2107"/>
      <c r="J56" s="2088"/>
      <c r="K56" s="2106"/>
      <c r="L56" s="1409"/>
    </row>
    <row r="57" spans="1:12" ht="11.25" customHeight="1" x14ac:dyDescent="0.25">
      <c r="A57" s="132" t="s">
        <v>1194</v>
      </c>
      <c r="B57" s="60"/>
      <c r="C57" s="2088"/>
      <c r="D57" s="2088"/>
      <c r="E57" s="2106"/>
      <c r="F57" s="2107"/>
      <c r="G57" s="2088"/>
      <c r="H57" s="2108"/>
      <c r="I57" s="2107"/>
      <c r="J57" s="2088"/>
      <c r="K57" s="2106"/>
      <c r="L57" s="1409"/>
    </row>
    <row r="58" spans="1:12" ht="11.25" customHeight="1" x14ac:dyDescent="0.25">
      <c r="A58" s="132" t="s">
        <v>1195</v>
      </c>
      <c r="B58" s="60"/>
      <c r="C58" s="2088"/>
      <c r="D58" s="2088"/>
      <c r="E58" s="2106"/>
      <c r="F58" s="2107"/>
      <c r="G58" s="2088"/>
      <c r="H58" s="2108"/>
      <c r="I58" s="2107"/>
      <c r="J58" s="2088"/>
      <c r="K58" s="2106"/>
      <c r="L58" s="1408"/>
    </row>
    <row r="59" spans="1:12" ht="11.25" customHeight="1" x14ac:dyDescent="0.25">
      <c r="A59" s="132" t="s">
        <v>1456</v>
      </c>
      <c r="B59" s="60"/>
      <c r="C59" s="2088"/>
      <c r="D59" s="2088"/>
      <c r="E59" s="2106">
        <v>1104211.1599999999</v>
      </c>
      <c r="F59" s="2107"/>
      <c r="G59" s="2088"/>
      <c r="H59" s="2108"/>
      <c r="I59" s="2107"/>
      <c r="J59" s="2088"/>
      <c r="K59" s="2106"/>
      <c r="L59" s="1409"/>
    </row>
    <row r="60" spans="1:12" ht="11.25" customHeight="1" x14ac:dyDescent="0.25">
      <c r="A60" s="132" t="s">
        <v>306</v>
      </c>
      <c r="B60" s="60"/>
      <c r="C60" s="2088"/>
      <c r="D60" s="2088"/>
      <c r="E60" s="2106"/>
      <c r="F60" s="2107"/>
      <c r="G60" s="2088"/>
      <c r="H60" s="2108"/>
      <c r="I60" s="2107"/>
      <c r="J60" s="2088"/>
      <c r="K60" s="2106"/>
      <c r="L60" s="1409"/>
    </row>
    <row r="61" spans="1:12" ht="11.25" customHeight="1" x14ac:dyDescent="0.25">
      <c r="A61" s="132" t="s">
        <v>305</v>
      </c>
      <c r="B61" s="60"/>
      <c r="C61" s="2088"/>
      <c r="D61" s="2088"/>
      <c r="E61" s="2106"/>
      <c r="F61" s="2107"/>
      <c r="G61" s="2088"/>
      <c r="H61" s="2108"/>
      <c r="I61" s="2107"/>
      <c r="J61" s="2088"/>
      <c r="K61" s="2106"/>
      <c r="L61" s="1409"/>
    </row>
    <row r="62" spans="1:12" ht="11.25" customHeight="1" x14ac:dyDescent="0.25">
      <c r="A62" s="132" t="s">
        <v>594</v>
      </c>
      <c r="B62" s="60"/>
      <c r="C62" s="2088"/>
      <c r="D62" s="2088"/>
      <c r="E62" s="2106"/>
      <c r="F62" s="2107"/>
      <c r="G62" s="2088"/>
      <c r="H62" s="2108"/>
      <c r="I62" s="2107"/>
      <c r="J62" s="2088"/>
      <c r="K62" s="2106"/>
      <c r="L62" s="1409"/>
    </row>
    <row r="63" spans="1:12" ht="11.25" customHeight="1" x14ac:dyDescent="0.25">
      <c r="A63" s="128" t="s">
        <v>276</v>
      </c>
      <c r="B63" s="60"/>
      <c r="C63" s="2127">
        <v>37802336.079999998</v>
      </c>
      <c r="D63" s="2127">
        <v>37886401.229999997</v>
      </c>
      <c r="E63" s="2130">
        <f>25070600.99+367768.38</f>
        <v>25438369.369999997</v>
      </c>
      <c r="F63" s="2485">
        <v>42400000</v>
      </c>
      <c r="G63" s="2485">
        <v>42400000</v>
      </c>
      <c r="H63" s="2485">
        <v>42400000</v>
      </c>
      <c r="I63" s="2485">
        <v>44944000</v>
      </c>
      <c r="J63" s="2127">
        <v>47640640</v>
      </c>
      <c r="K63" s="2130">
        <v>50499078.399999999</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1467</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5" t="s">
        <v>1206</v>
      </c>
      <c r="B66" s="60"/>
      <c r="C66" s="2093"/>
      <c r="D66" s="2093"/>
      <c r="E66" s="2387"/>
      <c r="F66" s="2464"/>
      <c r="G66" s="2093"/>
      <c r="H66" s="2484"/>
      <c r="I66" s="2464"/>
      <c r="J66" s="2093"/>
      <c r="K66" s="2387"/>
      <c r="L66" s="247"/>
    </row>
    <row r="67" spans="1:12" ht="11.25" customHeight="1" x14ac:dyDescent="0.25">
      <c r="A67" s="2445"/>
      <c r="B67" s="60"/>
      <c r="C67" s="2127"/>
      <c r="D67" s="2127"/>
      <c r="E67" s="2130"/>
      <c r="F67" s="2485"/>
      <c r="G67" s="2127"/>
      <c r="H67" s="2486"/>
      <c r="I67" s="2485"/>
      <c r="J67" s="2127"/>
      <c r="K67" s="2130"/>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5" t="s">
        <v>1206</v>
      </c>
      <c r="B70" s="60"/>
      <c r="C70" s="2093"/>
      <c r="D70" s="2093"/>
      <c r="E70" s="2387"/>
      <c r="F70" s="2464"/>
      <c r="G70" s="2093"/>
      <c r="H70" s="2484"/>
      <c r="I70" s="2464"/>
      <c r="J70" s="2093"/>
      <c r="K70" s="2387"/>
      <c r="L70" s="247"/>
    </row>
    <row r="71" spans="1:12" ht="11.25" customHeight="1" x14ac:dyDescent="0.25">
      <c r="A71" s="2445"/>
      <c r="B71" s="60"/>
      <c r="C71" s="2127"/>
      <c r="D71" s="2127"/>
      <c r="E71" s="2130"/>
      <c r="F71" s="2485"/>
      <c r="G71" s="2127"/>
      <c r="H71" s="2486"/>
      <c r="I71" s="2485"/>
      <c r="J71" s="2127"/>
      <c r="K71" s="2130"/>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925</v>
      </c>
      <c r="B74" s="60"/>
      <c r="C74" s="2093"/>
      <c r="D74" s="2093"/>
      <c r="E74" s="2387"/>
      <c r="F74" s="2464"/>
      <c r="G74" s="2093"/>
      <c r="H74" s="2484"/>
      <c r="I74" s="2464"/>
      <c r="J74" s="2093"/>
      <c r="K74" s="2387"/>
      <c r="L74" s="247"/>
    </row>
    <row r="75" spans="1:12" ht="11.25" customHeight="1" x14ac:dyDescent="0.25">
      <c r="A75" s="2418" t="s">
        <v>579</v>
      </c>
      <c r="B75" s="60"/>
      <c r="C75" s="2127"/>
      <c r="D75" s="2127"/>
      <c r="E75" s="2130"/>
      <c r="F75" s="2485"/>
      <c r="G75" s="2127"/>
      <c r="H75" s="2486"/>
      <c r="I75" s="2485"/>
      <c r="J75" s="2127"/>
      <c r="K75" s="2130"/>
      <c r="L75" s="247"/>
    </row>
    <row r="76" spans="1:12" ht="5.0999999999999996" customHeight="1" x14ac:dyDescent="0.25">
      <c r="A76" s="151"/>
      <c r="B76" s="60"/>
      <c r="C76" s="96"/>
      <c r="D76" s="96"/>
      <c r="E76" s="97"/>
      <c r="F76" s="98"/>
      <c r="G76" s="96"/>
      <c r="H76" s="95"/>
      <c r="I76" s="98"/>
      <c r="J76" s="96"/>
      <c r="K76" s="97"/>
      <c r="L76" s="247"/>
    </row>
    <row r="77" spans="1:12" x14ac:dyDescent="0.25">
      <c r="A77" s="159" t="s">
        <v>1949</v>
      </c>
      <c r="B77" s="103">
        <v>1</v>
      </c>
      <c r="C77" s="108">
        <f t="shared" ref="C77:K77" si="14">C6+C27+C43+C47+C51+C73+C65+C69</f>
        <v>37802336.079999998</v>
      </c>
      <c r="D77" s="108">
        <f t="shared" si="14"/>
        <v>37960565.289999999</v>
      </c>
      <c r="E77" s="106">
        <f t="shared" si="14"/>
        <v>40721575.949999996</v>
      </c>
      <c r="F77" s="107">
        <f t="shared" si="14"/>
        <v>42400000</v>
      </c>
      <c r="G77" s="108">
        <f>G6+G27+G43+G47+G51+G73+G65+G69</f>
        <v>42400000</v>
      </c>
      <c r="H77" s="109">
        <f t="shared" si="14"/>
        <v>42400000</v>
      </c>
      <c r="I77" s="107">
        <f t="shared" si="14"/>
        <v>44944000</v>
      </c>
      <c r="J77" s="108">
        <f t="shared" si="14"/>
        <v>47640640</v>
      </c>
      <c r="K77" s="106">
        <f t="shared" si="14"/>
        <v>50499078.399999999</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1238</v>
      </c>
      <c r="B80" s="1415"/>
      <c r="C80" s="2090"/>
      <c r="D80" s="2088"/>
      <c r="E80" s="2091"/>
      <c r="F80" s="2090"/>
      <c r="G80" s="2088"/>
      <c r="H80" s="2091"/>
      <c r="I80" s="2090"/>
      <c r="J80" s="2088"/>
      <c r="K80" s="2091"/>
      <c r="L80" s="247"/>
    </row>
    <row r="81" spans="1:12" x14ac:dyDescent="0.25">
      <c r="A81" s="68" t="s">
        <v>1457</v>
      </c>
      <c r="B81" s="1415"/>
      <c r="C81" s="2090"/>
      <c r="D81" s="2088"/>
      <c r="E81" s="2091"/>
      <c r="F81" s="2090"/>
      <c r="G81" s="2088"/>
      <c r="H81" s="2091"/>
      <c r="I81" s="2090"/>
      <c r="J81" s="2088"/>
      <c r="K81" s="2091"/>
      <c r="L81" s="247"/>
    </row>
    <row r="82" spans="1:12" x14ac:dyDescent="0.25">
      <c r="A82" s="68" t="s">
        <v>1628</v>
      </c>
      <c r="B82" s="1415"/>
      <c r="C82" s="2090"/>
      <c r="D82" s="2088"/>
      <c r="E82" s="2091"/>
      <c r="F82" s="2090"/>
      <c r="G82" s="2088"/>
      <c r="H82" s="2091"/>
      <c r="I82" s="2090"/>
      <c r="J82" s="2088"/>
      <c r="K82" s="2091"/>
      <c r="L82" s="247"/>
    </row>
    <row r="83" spans="1:12" x14ac:dyDescent="0.25">
      <c r="A83" s="1172" t="s">
        <v>1629</v>
      </c>
      <c r="B83" s="1416"/>
      <c r="C83" s="2168"/>
      <c r="D83" s="2164"/>
      <c r="E83" s="2493"/>
      <c r="F83" s="2168"/>
      <c r="G83" s="2164"/>
      <c r="H83" s="2493"/>
      <c r="I83" s="2168"/>
      <c r="J83" s="2164"/>
      <c r="K83" s="2493"/>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2118</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867</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1586</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1280</v>
      </c>
      <c r="B92" s="897"/>
      <c r="C92" s="900"/>
      <c r="D92" s="900"/>
      <c r="E92" s="901"/>
      <c r="F92" s="901"/>
      <c r="G92" s="901"/>
      <c r="H92" s="901"/>
      <c r="I92" s="901"/>
      <c r="J92" s="901"/>
      <c r="K92" s="901"/>
    </row>
    <row r="93" spans="1:12" s="586" customFormat="1" ht="11.25" customHeight="1" x14ac:dyDescent="0.25">
      <c r="A93" s="1368" t="s">
        <v>1281</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7.9999998211860657E-2</v>
      </c>
      <c r="D97" s="133">
        <f>D77-'A4-FinPerf RE'!D28</f>
        <v>0.28999999910593033</v>
      </c>
      <c r="E97" s="133">
        <f>E77-'A4-FinPerf RE'!E28</f>
        <v>-5.0000004470348358E-2</v>
      </c>
      <c r="F97" s="133">
        <f>F77-'A4-FinPerf RE'!F28</f>
        <v>0</v>
      </c>
      <c r="G97" s="133">
        <f>G77-'A4-FinPerf RE'!G28</f>
        <v>0</v>
      </c>
      <c r="H97" s="133">
        <f>H77-'A4-FinPerf RE'!H28</f>
        <v>0</v>
      </c>
      <c r="I97" s="133">
        <f>I77-'A4-FinPerf RE'!J28</f>
        <v>0</v>
      </c>
      <c r="J97" s="133">
        <f>J77-'A4-FinPerf RE'!K28</f>
        <v>0</v>
      </c>
      <c r="K97" s="133">
        <f>K77-'A4-FinPerf RE'!L28</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9" activePane="bottomRight" state="frozen"/>
      <selection pane="topRight"/>
      <selection pane="bottomLeft"/>
      <selection pane="bottomRight" activeCell="C9" sqref="C9"/>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LIM471 Ephraim Mogale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29" t="str">
        <f>Head3</f>
        <v>2016/17 Medium Term Revenue &amp; Expenditure Framework</v>
      </c>
      <c r="D2" s="2651"/>
      <c r="E2" s="2651"/>
      <c r="F2" s="2691" t="s">
        <v>832</v>
      </c>
      <c r="G2" s="2736"/>
      <c r="H2" s="2736"/>
      <c r="I2" s="2737"/>
    </row>
    <row r="3" spans="1:10" ht="25.5" x14ac:dyDescent="0.25">
      <c r="A3" s="58" t="s">
        <v>625</v>
      </c>
      <c r="B3" s="863"/>
      <c r="C3" s="860" t="str">
        <f>Head9</f>
        <v>Budget Year 2016/17</v>
      </c>
      <c r="D3" s="267" t="str">
        <f>Head10</f>
        <v>Budget Year +1 2017/18</v>
      </c>
      <c r="E3" s="266" t="str">
        <f>Head11</f>
        <v>Budget Year +2 2018/19</v>
      </c>
      <c r="F3" s="876" t="str">
        <f>Head12</f>
        <v>Forecast 2019/20</v>
      </c>
      <c r="G3" s="877" t="str">
        <f>Head13</f>
        <v>Forecast 2020/21</v>
      </c>
      <c r="H3" s="877" t="str">
        <f>Head14</f>
        <v>Forecast 2021/22</v>
      </c>
      <c r="I3" s="878" t="str">
        <f>Head48</f>
        <v>Present value</v>
      </c>
    </row>
    <row r="4" spans="1:10" x14ac:dyDescent="0.25">
      <c r="A4" s="127" t="s">
        <v>1443</v>
      </c>
      <c r="B4" s="622">
        <v>1</v>
      </c>
      <c r="C4" s="809"/>
      <c r="D4" s="809"/>
      <c r="E4" s="810"/>
      <c r="F4" s="191"/>
      <c r="G4" s="189"/>
      <c r="H4" s="189"/>
      <c r="I4" s="192"/>
      <c r="J4" s="247"/>
    </row>
    <row r="5" spans="1:10" ht="11.25" customHeight="1" x14ac:dyDescent="0.25">
      <c r="A5" s="1032" t="str">
        <f>'A5-Capex'!A6</f>
        <v>Vote 1 - EXECUTIVE AND COUNCIL</v>
      </c>
      <c r="B5" s="60"/>
      <c r="C5" s="1325">
        <f>'A5-Capex'!J6+'A5-Capex'!J24</f>
        <v>800000</v>
      </c>
      <c r="D5" s="1325">
        <f>'A5-Capex'!K6+'A5-Capex'!K24</f>
        <v>0</v>
      </c>
      <c r="E5" s="1326">
        <f>'A5-Capex'!L6+'A5-Capex'!L24</f>
        <v>0</v>
      </c>
      <c r="F5" s="2104"/>
      <c r="G5" s="1454"/>
      <c r="H5" s="1454"/>
      <c r="I5" s="2103"/>
      <c r="J5" s="247"/>
    </row>
    <row r="6" spans="1:10" ht="11.25" customHeight="1" x14ac:dyDescent="0.25">
      <c r="A6" s="1032" t="str">
        <f>'A5-Capex'!A7</f>
        <v>Vote 2 - MUNICIPAL MANAGER</v>
      </c>
      <c r="B6" s="60"/>
      <c r="C6" s="1325">
        <f>'A5-Capex'!J7+'A5-Capex'!J25</f>
        <v>0</v>
      </c>
      <c r="D6" s="1325">
        <f>'A5-Capex'!K7+'A5-Capex'!K25</f>
        <v>0</v>
      </c>
      <c r="E6" s="1326">
        <f>'A5-Capex'!L7+'A5-Capex'!L25</f>
        <v>0</v>
      </c>
      <c r="F6" s="2104"/>
      <c r="G6" s="1454"/>
      <c r="H6" s="1454"/>
      <c r="I6" s="2103"/>
      <c r="J6" s="247"/>
    </row>
    <row r="7" spans="1:10" ht="11.25" customHeight="1" x14ac:dyDescent="0.25">
      <c r="A7" s="1032" t="str">
        <f>'A5-Capex'!A8</f>
        <v>Vote 3 - FINANCE</v>
      </c>
      <c r="B7" s="60"/>
      <c r="C7" s="1325">
        <f>'A5-Capex'!J8+'A5-Capex'!J26</f>
        <v>0</v>
      </c>
      <c r="D7" s="1325">
        <f>'A5-Capex'!K8+'A5-Capex'!K26</f>
        <v>0</v>
      </c>
      <c r="E7" s="1326">
        <f>'A5-Capex'!L8+'A5-Capex'!L26</f>
        <v>0</v>
      </c>
      <c r="F7" s="2104"/>
      <c r="G7" s="1454"/>
      <c r="H7" s="1454"/>
      <c r="I7" s="2103"/>
      <c r="J7" s="247"/>
    </row>
    <row r="8" spans="1:10" ht="11.25" customHeight="1" x14ac:dyDescent="0.25">
      <c r="A8" s="1032" t="str">
        <f>'A5-Capex'!A9</f>
        <v>Vote 4 - CORPORATE SERVICES MANAGEMENT</v>
      </c>
      <c r="B8" s="60"/>
      <c r="C8" s="1325">
        <f>'A5-Capex'!J9+'A5-Capex'!J27</f>
        <v>971600</v>
      </c>
      <c r="D8" s="1325">
        <f>'A5-Capex'!K9+'A5-Capex'!K27</f>
        <v>1029896</v>
      </c>
      <c r="E8" s="1326">
        <f>'A5-Capex'!L9+'A5-Capex'!L27</f>
        <v>1091689.76</v>
      </c>
      <c r="F8" s="2104"/>
      <c r="G8" s="1454"/>
      <c r="H8" s="1454"/>
      <c r="I8" s="2103"/>
      <c r="J8" s="247"/>
    </row>
    <row r="9" spans="1:10" ht="11.25" customHeight="1" x14ac:dyDescent="0.25">
      <c r="A9" s="1032" t="str">
        <f>'A5-Capex'!A10</f>
        <v>Vote 5 - COMMUNITY SERVICES MANAGEMENT</v>
      </c>
      <c r="B9" s="60"/>
      <c r="C9" s="1325">
        <f>'A5-Capex'!J10+'A5-Capex'!J28</f>
        <v>6094000</v>
      </c>
      <c r="D9" s="1325">
        <f>'A5-Capex'!K10+'A5-Capex'!K28</f>
        <v>6459640</v>
      </c>
      <c r="E9" s="1326">
        <f>'A5-Capex'!L10+'A5-Capex'!L28</f>
        <v>6847218.4000000004</v>
      </c>
      <c r="F9" s="2104"/>
      <c r="G9" s="1454"/>
      <c r="H9" s="1454"/>
      <c r="I9" s="2103"/>
      <c r="J9" s="247"/>
    </row>
    <row r="10" spans="1:10" ht="11.25" customHeight="1" x14ac:dyDescent="0.25">
      <c r="A10" s="1032" t="str">
        <f>'A5-Capex'!A11</f>
        <v>Vote 6 - TECHNICAL SERVICES</v>
      </c>
      <c r="B10" s="60"/>
      <c r="C10" s="1325">
        <f>'A5-Capex'!J11+'A5-Capex'!J29</f>
        <v>56842357.5</v>
      </c>
      <c r="D10" s="1325">
        <f>'A5-Capex'!K11+'A5-Capex'!K29</f>
        <v>60599878.950000003</v>
      </c>
      <c r="E10" s="1326">
        <f>'A5-Capex'!L11+'A5-Capex'!L29</f>
        <v>64993131.689999998</v>
      </c>
      <c r="F10" s="2104"/>
      <c r="G10" s="1454"/>
      <c r="H10" s="1454"/>
      <c r="I10" s="2103"/>
      <c r="J10" s="247"/>
    </row>
    <row r="11" spans="1:10" ht="11.25" customHeight="1" x14ac:dyDescent="0.25">
      <c r="A11" s="1032" t="str">
        <f>'A5-Capex'!A12</f>
        <v xml:space="preserve">Vote 7 - </v>
      </c>
      <c r="B11" s="60"/>
      <c r="C11" s="1325">
        <f>'A5-Capex'!J12+'A5-Capex'!J30</f>
        <v>0</v>
      </c>
      <c r="D11" s="1325">
        <f>'A5-Capex'!K12+'A5-Capex'!K30</f>
        <v>0</v>
      </c>
      <c r="E11" s="1326">
        <f>'A5-Capex'!L12+'A5-Capex'!L30</f>
        <v>0</v>
      </c>
      <c r="F11" s="2104"/>
      <c r="G11" s="1454"/>
      <c r="H11" s="1454"/>
      <c r="I11" s="2103"/>
      <c r="J11" s="247"/>
    </row>
    <row r="12" spans="1:10" ht="11.25" customHeight="1" x14ac:dyDescent="0.25">
      <c r="A12" s="1032" t="str">
        <f>'A5-Capex'!A13</f>
        <v xml:space="preserve">Vote 8 - </v>
      </c>
      <c r="B12" s="60"/>
      <c r="C12" s="1325">
        <f>'A5-Capex'!J13+'A5-Capex'!J31</f>
        <v>800000</v>
      </c>
      <c r="D12" s="1325">
        <f>'A5-Capex'!K13+'A5-Capex'!K31</f>
        <v>848000</v>
      </c>
      <c r="E12" s="1326">
        <f>'A5-Capex'!L13+'A5-Capex'!L31</f>
        <v>898880</v>
      </c>
      <c r="F12" s="2104"/>
      <c r="G12" s="1454"/>
      <c r="H12" s="1454"/>
      <c r="I12" s="2103"/>
      <c r="J12" s="247"/>
    </row>
    <row r="13" spans="1:10" ht="11.25" customHeight="1" x14ac:dyDescent="0.25">
      <c r="A13" s="1032" t="str">
        <f>'A5-Capex'!A14</f>
        <v>Vote 9 - [NAME OF VOTE 9]</v>
      </c>
      <c r="B13" s="60"/>
      <c r="C13" s="1325">
        <f>'A5-Capex'!J14+'A5-Capex'!J32</f>
        <v>0</v>
      </c>
      <c r="D13" s="1325">
        <f>'A5-Capex'!K14+'A5-Capex'!K32</f>
        <v>0</v>
      </c>
      <c r="E13" s="1326">
        <f>'A5-Capex'!L14+'A5-Capex'!L32</f>
        <v>0</v>
      </c>
      <c r="F13" s="2104"/>
      <c r="G13" s="1454"/>
      <c r="H13" s="1454"/>
      <c r="I13" s="2103"/>
      <c r="J13" s="247"/>
    </row>
    <row r="14" spans="1:10" ht="11.25" customHeight="1" x14ac:dyDescent="0.25">
      <c r="A14" s="1032" t="str">
        <f>'A5-Capex'!A15</f>
        <v>Vote 10 - [NAME OF VOTE 10]</v>
      </c>
      <c r="B14" s="60"/>
      <c r="C14" s="1325">
        <f>'A5-Capex'!J15+'A5-Capex'!J33</f>
        <v>0</v>
      </c>
      <c r="D14" s="1325">
        <f>'A5-Capex'!K15+'A5-Capex'!K33</f>
        <v>0</v>
      </c>
      <c r="E14" s="1326">
        <f>'A5-Capex'!L15+'A5-Capex'!L33</f>
        <v>0</v>
      </c>
      <c r="F14" s="2104"/>
      <c r="G14" s="1454"/>
      <c r="H14" s="1454"/>
      <c r="I14" s="2103"/>
      <c r="J14" s="247"/>
    </row>
    <row r="15" spans="1:10" ht="11.25" customHeight="1" x14ac:dyDescent="0.25">
      <c r="A15" s="1032" t="str">
        <f>'A5-Capex'!A16</f>
        <v>Vote 11 - [NAME OF VOTE 11]</v>
      </c>
      <c r="B15" s="60"/>
      <c r="C15" s="1325">
        <f>'A5-Capex'!J16+'A5-Capex'!J34</f>
        <v>0</v>
      </c>
      <c r="D15" s="1325">
        <f>'A5-Capex'!K16+'A5-Capex'!K34</f>
        <v>0</v>
      </c>
      <c r="E15" s="1326">
        <f>'A5-Capex'!L16+'A5-Capex'!L34</f>
        <v>0</v>
      </c>
      <c r="F15" s="2104"/>
      <c r="G15" s="1454"/>
      <c r="H15" s="1454"/>
      <c r="I15" s="2103"/>
      <c r="J15" s="247"/>
    </row>
    <row r="16" spans="1:10" ht="11.25" customHeight="1" x14ac:dyDescent="0.25">
      <c r="A16" s="1032" t="str">
        <f>'A5-Capex'!A17</f>
        <v>Vote 12 - [NAME OF VOTE 12]</v>
      </c>
      <c r="B16" s="60"/>
      <c r="C16" s="1325">
        <f>'A5-Capex'!J17+'A5-Capex'!J35</f>
        <v>0</v>
      </c>
      <c r="D16" s="1325">
        <f>'A5-Capex'!K17+'A5-Capex'!K35</f>
        <v>0</v>
      </c>
      <c r="E16" s="1326">
        <f>'A5-Capex'!L17+'A5-Capex'!L35</f>
        <v>0</v>
      </c>
      <c r="F16" s="2104"/>
      <c r="G16" s="1454"/>
      <c r="H16" s="1454"/>
      <c r="I16" s="2103"/>
      <c r="J16" s="247"/>
    </row>
    <row r="17" spans="1:10" ht="11.25" customHeight="1" x14ac:dyDescent="0.25">
      <c r="A17" s="1032" t="str">
        <f>'A5-Capex'!A18</f>
        <v>Vote 13 - [NAME OF VOTE 13]</v>
      </c>
      <c r="B17" s="60"/>
      <c r="C17" s="1325">
        <f>'A5-Capex'!J18+'A5-Capex'!J36</f>
        <v>0</v>
      </c>
      <c r="D17" s="1325">
        <f>'A5-Capex'!K18+'A5-Capex'!K36</f>
        <v>0</v>
      </c>
      <c r="E17" s="1326">
        <f>'A5-Capex'!L18+'A5-Capex'!L36</f>
        <v>0</v>
      </c>
      <c r="F17" s="2104"/>
      <c r="G17" s="1454"/>
      <c r="H17" s="1454"/>
      <c r="I17" s="2103"/>
      <c r="J17" s="247"/>
    </row>
    <row r="18" spans="1:10" ht="11.25" customHeight="1" x14ac:dyDescent="0.25">
      <c r="A18" s="1032" t="str">
        <f>'A5-Capex'!A19</f>
        <v>Vote 14 - [NAME OF VOTE 14]</v>
      </c>
      <c r="B18" s="60"/>
      <c r="C18" s="1325">
        <f>'A5-Capex'!J19+'A5-Capex'!J37</f>
        <v>0</v>
      </c>
      <c r="D18" s="1325">
        <f>'A5-Capex'!K19+'A5-Capex'!K37</f>
        <v>0</v>
      </c>
      <c r="E18" s="1326">
        <f>'A5-Capex'!L19+'A5-Capex'!L37</f>
        <v>0</v>
      </c>
      <c r="F18" s="2104"/>
      <c r="G18" s="1454"/>
      <c r="H18" s="1454"/>
      <c r="I18" s="2103"/>
      <c r="J18" s="247"/>
    </row>
    <row r="19" spans="1:10" ht="11.25" customHeight="1" x14ac:dyDescent="0.25">
      <c r="A19" s="1032" t="str">
        <f>'A5-Capex'!A20</f>
        <v>Vote 15 - [NAME OF VOTE 15]</v>
      </c>
      <c r="B19" s="60"/>
      <c r="C19" s="1325">
        <f>'A5-Capex'!J20+'A5-Capex'!J38</f>
        <v>0</v>
      </c>
      <c r="D19" s="1325">
        <f>'A5-Capex'!K20+'A5-Capex'!K38</f>
        <v>0</v>
      </c>
      <c r="E19" s="1326">
        <f>'A5-Capex'!L20+'A5-Capex'!L38</f>
        <v>0</v>
      </c>
      <c r="F19" s="2104"/>
      <c r="G19" s="1454"/>
      <c r="H19" s="1454"/>
      <c r="I19" s="2103"/>
      <c r="J19" s="247"/>
    </row>
    <row r="20" spans="1:10" ht="11.25" customHeight="1" x14ac:dyDescent="0.25">
      <c r="A20" s="2445" t="s">
        <v>1421</v>
      </c>
      <c r="B20" s="60"/>
      <c r="C20" s="1454"/>
      <c r="D20" s="1454"/>
      <c r="E20" s="1455"/>
      <c r="F20" s="2104"/>
      <c r="G20" s="1454"/>
      <c r="H20" s="1454"/>
      <c r="I20" s="2103"/>
      <c r="J20" s="247"/>
    </row>
    <row r="21" spans="1:10" ht="11.25" customHeight="1" x14ac:dyDescent="0.25">
      <c r="A21" s="1146" t="s">
        <v>38</v>
      </c>
      <c r="B21" s="60"/>
      <c r="C21" s="1205">
        <f>SUM(C5:C20)</f>
        <v>65507957.5</v>
      </c>
      <c r="D21" s="1205">
        <f t="shared" ref="D21:I21" si="0">SUM(D5:D20)</f>
        <v>68937414.950000003</v>
      </c>
      <c r="E21" s="1206">
        <f t="shared" si="0"/>
        <v>73830919.849999994</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833</v>
      </c>
      <c r="B23" s="60">
        <v>2</v>
      </c>
      <c r="C23" s="811"/>
      <c r="D23" s="811"/>
      <c r="E23" s="812"/>
      <c r="F23" s="813"/>
      <c r="G23" s="811"/>
      <c r="H23" s="811"/>
      <c r="I23" s="814"/>
      <c r="J23" s="247"/>
    </row>
    <row r="24" spans="1:10" ht="11.25" customHeight="1" x14ac:dyDescent="0.25">
      <c r="A24" s="1032" t="str">
        <f>A5</f>
        <v>Vote 1 - EXECUTIVE AND COUNCIL</v>
      </c>
      <c r="B24" s="60"/>
      <c r="C24" s="1454"/>
      <c r="D24" s="1454"/>
      <c r="E24" s="1455"/>
      <c r="F24" s="2104"/>
      <c r="G24" s="1454"/>
      <c r="H24" s="1454"/>
      <c r="I24" s="2103"/>
      <c r="J24" s="247"/>
    </row>
    <row r="25" spans="1:10" ht="11.25" customHeight="1" x14ac:dyDescent="0.25">
      <c r="A25" s="1032" t="str">
        <f t="shared" ref="A25:A38" si="1">A6</f>
        <v>Vote 2 - MUNICIPAL MANAGER</v>
      </c>
      <c r="B25" s="60"/>
      <c r="C25" s="1454"/>
      <c r="D25" s="1454"/>
      <c r="E25" s="1455"/>
      <c r="F25" s="2104"/>
      <c r="G25" s="1454"/>
      <c r="H25" s="1454"/>
      <c r="I25" s="2103"/>
      <c r="J25" s="247"/>
    </row>
    <row r="26" spans="1:10" ht="11.25" customHeight="1" x14ac:dyDescent="0.25">
      <c r="A26" s="1032" t="str">
        <f t="shared" si="1"/>
        <v>Vote 3 - FINANCE</v>
      </c>
      <c r="B26" s="60"/>
      <c r="C26" s="1454"/>
      <c r="D26" s="1454"/>
      <c r="E26" s="1455"/>
      <c r="F26" s="2104"/>
      <c r="G26" s="1454"/>
      <c r="H26" s="1454"/>
      <c r="I26" s="2103"/>
      <c r="J26" s="247"/>
    </row>
    <row r="27" spans="1:10" ht="11.25" customHeight="1" x14ac:dyDescent="0.25">
      <c r="A27" s="1032" t="str">
        <f t="shared" si="1"/>
        <v>Vote 4 - CORPORATE SERVICES MANAGEMENT</v>
      </c>
      <c r="B27" s="60"/>
      <c r="C27" s="1454"/>
      <c r="D27" s="1454"/>
      <c r="E27" s="1455"/>
      <c r="F27" s="2104"/>
      <c r="G27" s="1454"/>
      <c r="H27" s="1454"/>
      <c r="I27" s="2103"/>
      <c r="J27" s="247"/>
    </row>
    <row r="28" spans="1:10" ht="11.25" customHeight="1" x14ac:dyDescent="0.25">
      <c r="A28" s="1032" t="str">
        <f t="shared" si="1"/>
        <v>Vote 5 - COMMUNITY SERVICES MANAGEMENT</v>
      </c>
      <c r="B28" s="60"/>
      <c r="C28" s="1454"/>
      <c r="D28" s="1454"/>
      <c r="E28" s="1455"/>
      <c r="F28" s="2104"/>
      <c r="G28" s="1454"/>
      <c r="H28" s="1454"/>
      <c r="I28" s="2103"/>
      <c r="J28" s="247"/>
    </row>
    <row r="29" spans="1:10" ht="11.25" customHeight="1" x14ac:dyDescent="0.25">
      <c r="A29" s="1032" t="str">
        <f t="shared" si="1"/>
        <v>Vote 6 - TECHNICAL SERVICES</v>
      </c>
      <c r="B29" s="60"/>
      <c r="C29" s="1454"/>
      <c r="D29" s="1454"/>
      <c r="E29" s="1455"/>
      <c r="F29" s="2104"/>
      <c r="G29" s="1454"/>
      <c r="H29" s="1454"/>
      <c r="I29" s="2103"/>
      <c r="J29" s="247"/>
    </row>
    <row r="30" spans="1:10" ht="11.25" customHeight="1" x14ac:dyDescent="0.25">
      <c r="A30" s="1032" t="str">
        <f t="shared" si="1"/>
        <v xml:space="preserve">Vote 7 - </v>
      </c>
      <c r="B30" s="60"/>
      <c r="C30" s="1454"/>
      <c r="D30" s="1454"/>
      <c r="E30" s="1455"/>
      <c r="F30" s="2104"/>
      <c r="G30" s="1454"/>
      <c r="H30" s="1454"/>
      <c r="I30" s="2103"/>
      <c r="J30" s="247"/>
    </row>
    <row r="31" spans="1:10" ht="11.25" customHeight="1" x14ac:dyDescent="0.25">
      <c r="A31" s="1032" t="str">
        <f t="shared" si="1"/>
        <v xml:space="preserve">Vote 8 - </v>
      </c>
      <c r="B31" s="60"/>
      <c r="C31" s="1454"/>
      <c r="D31" s="1454"/>
      <c r="E31" s="1455"/>
      <c r="F31" s="2104"/>
      <c r="G31" s="1454"/>
      <c r="H31" s="1454"/>
      <c r="I31" s="2103"/>
      <c r="J31" s="247"/>
    </row>
    <row r="32" spans="1:10" ht="11.25" customHeight="1" x14ac:dyDescent="0.25">
      <c r="A32" s="1032" t="str">
        <f t="shared" si="1"/>
        <v>Vote 9 - [NAME OF VOTE 9]</v>
      </c>
      <c r="B32" s="60"/>
      <c r="C32" s="1454"/>
      <c r="D32" s="1454"/>
      <c r="E32" s="1455"/>
      <c r="F32" s="2104"/>
      <c r="G32" s="1454"/>
      <c r="H32" s="1454"/>
      <c r="I32" s="2103"/>
      <c r="J32" s="247"/>
    </row>
    <row r="33" spans="1:15" ht="11.25" customHeight="1" x14ac:dyDescent="0.25">
      <c r="A33" s="1032" t="str">
        <f t="shared" si="1"/>
        <v>Vote 10 - [NAME OF VOTE 10]</v>
      </c>
      <c r="B33" s="60"/>
      <c r="C33" s="1454"/>
      <c r="D33" s="1454"/>
      <c r="E33" s="1455"/>
      <c r="F33" s="2104"/>
      <c r="G33" s="1454"/>
      <c r="H33" s="1454"/>
      <c r="I33" s="2103"/>
      <c r="J33" s="247"/>
    </row>
    <row r="34" spans="1:15" ht="11.25" customHeight="1" x14ac:dyDescent="0.25">
      <c r="A34" s="1032" t="str">
        <f t="shared" si="1"/>
        <v>Vote 11 - [NAME OF VOTE 11]</v>
      </c>
      <c r="B34" s="60"/>
      <c r="C34" s="1454"/>
      <c r="D34" s="1454"/>
      <c r="E34" s="1455"/>
      <c r="F34" s="2104"/>
      <c r="G34" s="1454"/>
      <c r="H34" s="1454"/>
      <c r="I34" s="2103"/>
      <c r="J34" s="247"/>
    </row>
    <row r="35" spans="1:15" ht="11.25" customHeight="1" x14ac:dyDescent="0.25">
      <c r="A35" s="1032" t="str">
        <f t="shared" si="1"/>
        <v>Vote 12 - [NAME OF VOTE 12]</v>
      </c>
      <c r="B35" s="60"/>
      <c r="C35" s="1454"/>
      <c r="D35" s="1454"/>
      <c r="E35" s="1455"/>
      <c r="F35" s="2104"/>
      <c r="G35" s="1454"/>
      <c r="H35" s="1454"/>
      <c r="I35" s="2103"/>
      <c r="J35" s="247"/>
    </row>
    <row r="36" spans="1:15" ht="11.25" customHeight="1" x14ac:dyDescent="0.25">
      <c r="A36" s="1032" t="str">
        <f t="shared" si="1"/>
        <v>Vote 13 - [NAME OF VOTE 13]</v>
      </c>
      <c r="B36" s="60"/>
      <c r="C36" s="1454"/>
      <c r="D36" s="1454"/>
      <c r="E36" s="1455"/>
      <c r="F36" s="2104"/>
      <c r="G36" s="1454"/>
      <c r="H36" s="1454"/>
      <c r="I36" s="2103"/>
      <c r="J36" s="247"/>
    </row>
    <row r="37" spans="1:15" ht="11.25" customHeight="1" x14ac:dyDescent="0.25">
      <c r="A37" s="1032" t="str">
        <f t="shared" si="1"/>
        <v>Vote 14 - [NAME OF VOTE 14]</v>
      </c>
      <c r="B37" s="60"/>
      <c r="C37" s="1454"/>
      <c r="D37" s="1454"/>
      <c r="E37" s="1455"/>
      <c r="F37" s="2104"/>
      <c r="G37" s="1454"/>
      <c r="H37" s="1454"/>
      <c r="I37" s="2103"/>
      <c r="J37" s="247"/>
      <c r="O37" s="247"/>
    </row>
    <row r="38" spans="1:15" ht="11.25" customHeight="1" x14ac:dyDescent="0.25">
      <c r="A38" s="1032" t="str">
        <f t="shared" si="1"/>
        <v>Vote 15 - [NAME OF VOTE 15]</v>
      </c>
      <c r="B38" s="60"/>
      <c r="C38" s="1454"/>
      <c r="D38" s="1454"/>
      <c r="E38" s="1455"/>
      <c r="F38" s="2104"/>
      <c r="G38" s="1454"/>
      <c r="H38" s="1454"/>
      <c r="I38" s="2103"/>
      <c r="J38" s="247"/>
    </row>
    <row r="39" spans="1:15" ht="11.25" customHeight="1" x14ac:dyDescent="0.25">
      <c r="A39" s="2445" t="s">
        <v>1421</v>
      </c>
      <c r="B39" s="60"/>
      <c r="C39" s="1454"/>
      <c r="D39" s="1454"/>
      <c r="E39" s="1455"/>
      <c r="F39" s="2104"/>
      <c r="G39" s="1454"/>
      <c r="H39" s="1454"/>
      <c r="I39" s="2103"/>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834</v>
      </c>
      <c r="B42" s="60">
        <v>3</v>
      </c>
      <c r="C42" s="811"/>
      <c r="D42" s="811"/>
      <c r="E42" s="812"/>
      <c r="F42" s="813"/>
      <c r="G42" s="811"/>
      <c r="H42" s="811"/>
      <c r="I42" s="814"/>
      <c r="J42" s="247"/>
    </row>
    <row r="43" spans="1:15" ht="11.25" customHeight="1" x14ac:dyDescent="0.25">
      <c r="A43" s="1032" t="str">
        <f>'A4-FinPerf RE'!A5</f>
        <v>Property rates</v>
      </c>
      <c r="B43" s="60"/>
      <c r="C43" s="1454"/>
      <c r="D43" s="1454"/>
      <c r="E43" s="1455"/>
      <c r="F43" s="2104"/>
      <c r="G43" s="1454"/>
      <c r="H43" s="1454"/>
      <c r="I43" s="2103"/>
      <c r="J43" s="247"/>
    </row>
    <row r="44" spans="1:15" ht="11.25" customHeight="1" x14ac:dyDescent="0.25">
      <c r="A44" s="1032" t="str">
        <f>'A4-FinPerf RE'!A6</f>
        <v>Property rates - penalties &amp; collection charges</v>
      </c>
      <c r="B44" s="60"/>
      <c r="C44" s="1454"/>
      <c r="D44" s="1454"/>
      <c r="E44" s="1455"/>
      <c r="F44" s="2104"/>
      <c r="G44" s="1454"/>
      <c r="H44" s="1454"/>
      <c r="I44" s="2103"/>
      <c r="J44" s="247"/>
    </row>
    <row r="45" spans="1:15" ht="11.25" customHeight="1" x14ac:dyDescent="0.25">
      <c r="A45" s="1032" t="str">
        <f>'A4-FinPerf RE'!A7</f>
        <v>Service charges - electricity revenue</v>
      </c>
      <c r="B45" s="60"/>
      <c r="C45" s="1454"/>
      <c r="D45" s="1454"/>
      <c r="E45" s="1455"/>
      <c r="F45" s="2104"/>
      <c r="G45" s="1454"/>
      <c r="H45" s="1454"/>
      <c r="I45" s="2103"/>
      <c r="J45" s="247"/>
    </row>
    <row r="46" spans="1:15" ht="11.25" customHeight="1" x14ac:dyDescent="0.25">
      <c r="A46" s="1032" t="str">
        <f>'A4-FinPerf RE'!A8</f>
        <v>Service charges - water revenue</v>
      </c>
      <c r="B46" s="60"/>
      <c r="C46" s="1454"/>
      <c r="D46" s="1454"/>
      <c r="E46" s="1455"/>
      <c r="F46" s="2104"/>
      <c r="G46" s="1454"/>
      <c r="H46" s="1454"/>
      <c r="I46" s="2103"/>
      <c r="J46" s="247"/>
    </row>
    <row r="47" spans="1:15" ht="11.25" customHeight="1" x14ac:dyDescent="0.25">
      <c r="A47" s="1032" t="str">
        <f>'A4-FinPerf RE'!A9</f>
        <v>Service charges - sanitation revenue</v>
      </c>
      <c r="B47" s="60"/>
      <c r="C47" s="1454"/>
      <c r="D47" s="1454"/>
      <c r="E47" s="1455"/>
      <c r="F47" s="2104"/>
      <c r="G47" s="1454"/>
      <c r="H47" s="1454"/>
      <c r="I47" s="2103"/>
      <c r="J47" s="247"/>
    </row>
    <row r="48" spans="1:15" ht="11.25" customHeight="1" x14ac:dyDescent="0.25">
      <c r="A48" s="1032" t="str">
        <f>'A4-FinPerf RE'!A10</f>
        <v>Service charges - refuse revenue</v>
      </c>
      <c r="B48" s="60"/>
      <c r="C48" s="1454"/>
      <c r="D48" s="1454"/>
      <c r="E48" s="1455"/>
      <c r="F48" s="2104"/>
      <c r="G48" s="1454"/>
      <c r="H48" s="1454"/>
      <c r="I48" s="2103"/>
      <c r="J48" s="247"/>
    </row>
    <row r="49" spans="1:10" ht="11.25" customHeight="1" x14ac:dyDescent="0.25">
      <c r="A49" s="1032" t="str">
        <f>'A4-FinPerf RE'!A11</f>
        <v>Service charges - other</v>
      </c>
      <c r="B49" s="60"/>
      <c r="C49" s="1454"/>
      <c r="D49" s="1454"/>
      <c r="E49" s="1455"/>
      <c r="F49" s="2104"/>
      <c r="G49" s="1454"/>
      <c r="H49" s="1454"/>
      <c r="I49" s="2103"/>
      <c r="J49" s="247"/>
    </row>
    <row r="50" spans="1:10" ht="11.25" customHeight="1" x14ac:dyDescent="0.25">
      <c r="A50" s="1032" t="str">
        <f>'A4-FinPerf RE'!A12</f>
        <v>Rental of facilities and equipment</v>
      </c>
      <c r="B50" s="60"/>
      <c r="C50" s="1454"/>
      <c r="D50" s="1454"/>
      <c r="E50" s="1455"/>
      <c r="F50" s="2104"/>
      <c r="G50" s="1454"/>
      <c r="H50" s="1454"/>
      <c r="I50" s="2103"/>
      <c r="J50" s="247"/>
    </row>
    <row r="51" spans="1:10" ht="11.25" customHeight="1" x14ac:dyDescent="0.25">
      <c r="A51" s="2445" t="s">
        <v>282</v>
      </c>
      <c r="B51" s="60"/>
      <c r="C51" s="1454"/>
      <c r="D51" s="1454"/>
      <c r="E51" s="1455"/>
      <c r="F51" s="2104"/>
      <c r="G51" s="1454"/>
      <c r="H51" s="1454"/>
      <c r="I51" s="2103"/>
      <c r="J51" s="247"/>
    </row>
    <row r="52" spans="1:10" ht="11.25" customHeight="1" x14ac:dyDescent="0.25">
      <c r="A52" s="2445" t="s">
        <v>1421</v>
      </c>
      <c r="B52" s="60"/>
      <c r="C52" s="1454"/>
      <c r="D52" s="1454"/>
      <c r="E52" s="1455"/>
      <c r="F52" s="2104"/>
      <c r="G52" s="1454"/>
      <c r="H52" s="1454"/>
      <c r="I52" s="2103"/>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835</v>
      </c>
      <c r="B54" s="103"/>
      <c r="C54" s="105">
        <f t="shared" ref="C54:I54" si="4">C21+C40-C53</f>
        <v>65507957.5</v>
      </c>
      <c r="D54" s="105">
        <f t="shared" si="4"/>
        <v>68937414.950000003</v>
      </c>
      <c r="E54" s="104">
        <f t="shared" si="4"/>
        <v>73830919.849999994</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1420</v>
      </c>
      <c r="B58" s="948"/>
      <c r="C58" s="948"/>
      <c r="D58" s="948"/>
      <c r="E58" s="948"/>
      <c r="F58" s="948"/>
      <c r="G58" s="948"/>
      <c r="H58" s="948"/>
      <c r="I58" s="948"/>
    </row>
    <row r="59" spans="1:10" ht="11.25" customHeight="1" x14ac:dyDescent="0.25">
      <c r="B59" s="27"/>
    </row>
    <row r="60" spans="1:10" x14ac:dyDescent="0.25">
      <c r="A60" s="314" t="s">
        <v>1455</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view="pageBreakPreview" zoomScale="60" zoomScaleNormal="100" workbookViewId="0">
      <selection activeCell="D85" sqref="D85"/>
    </sheetView>
  </sheetViews>
  <sheetFormatPr defaultRowHeight="12.75" x14ac:dyDescent="0.2"/>
  <cols>
    <col min="1" max="1" width="20.7109375" style="1684" customWidth="1"/>
    <col min="2" max="2" width="40.7109375" style="1684" customWidth="1"/>
    <col min="3" max="3" width="20.7109375" style="1684" customWidth="1"/>
    <col min="4" max="4" width="40.7109375" style="1684"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LIM471 Ephraim Mogale -  Contact Information</v>
      </c>
      <c r="B1" s="1683"/>
    </row>
    <row r="2" spans="1:17" ht="13.5" customHeight="1" x14ac:dyDescent="0.2">
      <c r="A2" s="1685"/>
      <c r="B2" s="1686"/>
      <c r="C2" s="1685"/>
      <c r="D2" s="1685"/>
    </row>
    <row r="3" spans="1:17" ht="13.5" customHeight="1" thickBot="1" x14ac:dyDescent="0.3">
      <c r="A3" s="1687" t="s">
        <v>981</v>
      </c>
      <c r="B3" s="1688"/>
      <c r="C3" s="1685"/>
      <c r="D3" s="1685"/>
    </row>
    <row r="4" spans="1:17" ht="13.5" customHeight="1" thickTop="1" x14ac:dyDescent="0.2">
      <c r="A4" s="1689" t="s">
        <v>982</v>
      </c>
      <c r="B4" s="2078" t="str">
        <f>muni</f>
        <v>LIM471 Ephraim Mogale</v>
      </c>
      <c r="C4" s="1690" t="str">
        <f>IF(B4="Choose name from List","Set name on 'Instructions' sheet", "")</f>
        <v/>
      </c>
      <c r="D4" s="1691"/>
      <c r="F4" s="1295"/>
      <c r="G4" s="1295"/>
      <c r="H4" s="1295"/>
      <c r="I4" s="1296"/>
      <c r="J4" s="1295"/>
      <c r="K4" s="1297"/>
      <c r="L4" s="1297"/>
      <c r="M4" s="1297"/>
      <c r="N4" s="1297"/>
      <c r="O4" s="1297"/>
      <c r="P4" s="1378"/>
      <c r="Q4" s="1299"/>
    </row>
    <row r="5" spans="1:17" ht="13.5" customHeight="1" x14ac:dyDescent="0.2">
      <c r="A5" s="1692"/>
      <c r="B5" s="1693"/>
      <c r="C5" s="1691"/>
      <c r="D5" s="1691"/>
      <c r="F5" s="1295"/>
      <c r="G5" s="1295"/>
      <c r="H5" s="1295"/>
      <c r="I5" s="1296"/>
      <c r="J5" s="1295"/>
      <c r="K5" s="1297"/>
      <c r="L5" s="1297"/>
      <c r="M5" s="1297"/>
      <c r="N5" s="1297"/>
      <c r="O5" s="1297"/>
      <c r="P5" s="1378"/>
      <c r="Q5" s="1301"/>
    </row>
    <row r="6" spans="1:17" s="1302" customFormat="1" ht="13.5" customHeight="1" x14ac:dyDescent="0.25">
      <c r="A6" s="1694" t="s">
        <v>118</v>
      </c>
      <c r="B6" s="2079"/>
      <c r="C6" s="1695" t="s">
        <v>119</v>
      </c>
      <c r="D6" s="1696"/>
      <c r="E6" s="1300"/>
      <c r="F6" s="1295"/>
      <c r="G6" s="1295"/>
      <c r="H6" s="1296"/>
      <c r="I6" s="1296"/>
      <c r="J6" s="1295"/>
      <c r="K6" s="1297"/>
      <c r="L6" s="1297"/>
      <c r="M6" s="1297"/>
      <c r="N6" s="1297"/>
      <c r="O6" s="1297"/>
      <c r="P6" s="1378"/>
      <c r="Q6" s="1299"/>
    </row>
    <row r="7" spans="1:17" s="1302" customFormat="1" ht="13.5" customHeight="1" x14ac:dyDescent="0.2">
      <c r="A7" s="1697"/>
      <c r="B7" s="1698"/>
      <c r="C7" s="1696"/>
      <c r="D7" s="1696"/>
      <c r="E7" s="1300"/>
      <c r="F7" s="1295"/>
      <c r="G7" s="1295"/>
      <c r="H7" s="1296"/>
      <c r="I7" s="1296"/>
      <c r="J7" s="1295"/>
      <c r="K7" s="1297"/>
      <c r="L7" s="1297"/>
      <c r="M7" s="1297"/>
      <c r="N7" s="1297"/>
      <c r="O7" s="1297"/>
      <c r="P7" s="1378"/>
      <c r="Q7" s="1299"/>
    </row>
    <row r="8" spans="1:17" s="1302" customFormat="1" ht="13.5" customHeight="1" x14ac:dyDescent="0.2">
      <c r="A8" s="1699" t="s">
        <v>120</v>
      </c>
      <c r="B8" s="1700" t="str">
        <f>IF(B4&gt;" ",VLOOKUP(B4,'Lookup and lists'!B29:C307,2, FALSE)," ")</f>
        <v>LIM LIMPOPO</v>
      </c>
      <c r="C8" s="2628"/>
      <c r="D8" s="2628"/>
      <c r="E8" s="1300"/>
      <c r="F8" s="1295"/>
      <c r="G8" s="1295"/>
      <c r="H8" s="1296"/>
      <c r="I8" s="1296"/>
      <c r="J8" s="1295"/>
      <c r="K8" s="1297"/>
      <c r="L8" s="1297"/>
      <c r="M8" s="1297"/>
      <c r="N8" s="1297"/>
      <c r="O8" s="1297"/>
      <c r="P8" s="1378"/>
      <c r="Q8" s="1299"/>
    </row>
    <row r="9" spans="1:17" s="1302" customFormat="1" ht="13.5" customHeight="1" x14ac:dyDescent="0.2">
      <c r="A9" s="1702"/>
      <c r="B9" s="1703"/>
      <c r="C9" s="1701"/>
      <c r="D9" s="1701"/>
      <c r="E9" s="1300"/>
      <c r="F9" s="1295"/>
      <c r="G9" s="1295"/>
      <c r="H9" s="1296"/>
      <c r="I9" s="1296"/>
      <c r="J9" s="1295"/>
      <c r="K9" s="1297"/>
      <c r="L9" s="1297"/>
      <c r="M9" s="1297"/>
      <c r="N9" s="1297"/>
      <c r="O9" s="1297"/>
      <c r="P9" s="1378"/>
      <c r="Q9" s="1299"/>
    </row>
    <row r="10" spans="1:17" ht="13.5" customHeight="1" x14ac:dyDescent="0.2">
      <c r="A10" s="1704" t="s">
        <v>121</v>
      </c>
      <c r="B10" s="2080"/>
      <c r="C10" s="1705"/>
      <c r="D10" s="1706"/>
      <c r="F10" s="1296"/>
      <c r="G10" s="1295"/>
      <c r="H10" s="1296"/>
      <c r="I10" s="1296"/>
      <c r="J10" s="1295"/>
      <c r="K10" s="1297"/>
      <c r="L10" s="1297"/>
      <c r="M10" s="1297"/>
      <c r="N10" s="1297"/>
      <c r="O10" s="1297"/>
      <c r="P10" s="1378"/>
      <c r="Q10" s="1299"/>
    </row>
    <row r="11" spans="1:17" ht="13.5" customHeight="1" x14ac:dyDescent="0.2">
      <c r="A11" s="1707"/>
      <c r="B11" s="1708"/>
      <c r="C11" s="2633"/>
      <c r="D11" s="2634"/>
      <c r="F11" s="1296"/>
      <c r="G11" s="1295"/>
      <c r="H11" s="1296"/>
      <c r="I11" s="1296"/>
      <c r="J11" s="1295"/>
      <c r="K11" s="1297"/>
      <c r="L11" s="1297"/>
      <c r="M11" s="1297"/>
      <c r="N11" s="1297"/>
      <c r="O11" s="1297"/>
      <c r="P11" s="1378"/>
      <c r="Q11" s="1301"/>
    </row>
    <row r="12" spans="1:17" ht="13.5" customHeight="1" x14ac:dyDescent="0.2">
      <c r="A12" s="1704" t="s">
        <v>1654</v>
      </c>
      <c r="B12" s="2081"/>
      <c r="C12" s="1709"/>
      <c r="D12" s="1709"/>
      <c r="F12" s="1296"/>
      <c r="G12" s="1296"/>
      <c r="H12" s="1296"/>
      <c r="I12" s="1296"/>
      <c r="J12" s="1295"/>
      <c r="K12" s="1297"/>
      <c r="L12" s="1297"/>
      <c r="M12" s="1297"/>
      <c r="N12" s="1297"/>
      <c r="O12" s="1297"/>
      <c r="P12" s="1378"/>
      <c r="Q12" s="1299"/>
    </row>
    <row r="13" spans="1:17" ht="13.5" customHeight="1" x14ac:dyDescent="0.2">
      <c r="A13" s="1710"/>
      <c r="B13" s="1711"/>
      <c r="C13" s="2635"/>
      <c r="D13" s="2635"/>
      <c r="F13" s="1296"/>
      <c r="G13" s="1296"/>
      <c r="H13" s="1296"/>
      <c r="I13" s="1303"/>
      <c r="J13" s="1296"/>
      <c r="K13" s="1297"/>
      <c r="L13" s="1297"/>
      <c r="M13" s="1297"/>
      <c r="N13" s="1297"/>
      <c r="O13" s="1297"/>
      <c r="P13" s="1378"/>
    </row>
    <row r="14" spans="1:17" ht="13.5" customHeight="1" thickBot="1" x14ac:dyDescent="0.25">
      <c r="A14" s="2629" t="s">
        <v>1658</v>
      </c>
      <c r="B14" s="2630"/>
      <c r="C14" s="1712"/>
      <c r="D14" s="1712"/>
      <c r="F14" s="1296"/>
      <c r="G14" s="1296"/>
      <c r="H14" s="1303"/>
      <c r="I14" s="1304"/>
      <c r="J14" s="1296"/>
      <c r="K14" s="1297"/>
      <c r="L14" s="1297"/>
      <c r="M14" s="1297"/>
      <c r="N14" s="1297"/>
      <c r="O14" s="1297"/>
      <c r="P14" s="1378"/>
    </row>
    <row r="15" spans="1:17" ht="13.5" customHeight="1" thickTop="1" x14ac:dyDescent="0.2">
      <c r="A15" s="1713" t="s">
        <v>1659</v>
      </c>
      <c r="B15" s="1714"/>
      <c r="F15" s="1303"/>
      <c r="G15" s="1296"/>
      <c r="H15" s="1304"/>
      <c r="I15" s="1304"/>
      <c r="J15" s="1296"/>
      <c r="K15" s="1297"/>
      <c r="L15" s="1297"/>
      <c r="M15" s="1297"/>
      <c r="N15" s="1297"/>
      <c r="O15" s="1297"/>
      <c r="P15" s="1378"/>
    </row>
    <row r="16" spans="1:17" s="1302" customFormat="1" ht="13.5" customHeight="1" x14ac:dyDescent="0.2">
      <c r="A16" s="1715" t="s">
        <v>1661</v>
      </c>
      <c r="B16" s="2082"/>
      <c r="C16" s="1684"/>
      <c r="D16" s="1684"/>
      <c r="E16" s="1300"/>
      <c r="F16" s="1304"/>
      <c r="G16" s="1303"/>
      <c r="H16" s="1304"/>
      <c r="I16" s="1304"/>
      <c r="J16" s="1296"/>
      <c r="K16" s="1297"/>
      <c r="L16" s="1297"/>
      <c r="M16" s="1297"/>
      <c r="N16" s="1297"/>
      <c r="O16" s="1297"/>
      <c r="P16" s="1378"/>
      <c r="Q16" s="1292"/>
    </row>
    <row r="17" spans="1:17" ht="13.5" customHeight="1" x14ac:dyDescent="0.2">
      <c r="A17" s="1715" t="s">
        <v>1663</v>
      </c>
      <c r="B17" s="2082"/>
      <c r="F17" s="1304"/>
      <c r="G17" s="1304"/>
      <c r="H17" s="1304"/>
      <c r="I17" s="1304"/>
      <c r="J17" s="1303"/>
      <c r="K17" s="1297"/>
      <c r="L17" s="1297"/>
      <c r="M17" s="1297"/>
      <c r="N17" s="1297"/>
      <c r="O17" s="1297"/>
      <c r="P17" s="1378"/>
    </row>
    <row r="18" spans="1:17" ht="13.5" customHeight="1" x14ac:dyDescent="0.2">
      <c r="A18" s="1716" t="s">
        <v>1664</v>
      </c>
      <c r="B18" s="2083"/>
      <c r="F18" s="1304"/>
      <c r="G18" s="1304"/>
      <c r="H18" s="1304"/>
      <c r="I18" s="1304"/>
      <c r="J18" s="1304"/>
      <c r="K18" s="1297"/>
      <c r="L18" s="1297"/>
      <c r="M18" s="1297"/>
      <c r="N18" s="1297"/>
      <c r="O18" s="1297"/>
      <c r="P18" s="1378"/>
    </row>
    <row r="19" spans="1:17" ht="13.5" customHeight="1" x14ac:dyDescent="0.2">
      <c r="A19" s="1717"/>
      <c r="B19" s="1718"/>
      <c r="F19" s="1304"/>
      <c r="G19" s="1304"/>
      <c r="H19" s="1304"/>
      <c r="I19" s="1304"/>
      <c r="J19" s="1304"/>
      <c r="K19" s="1297"/>
      <c r="L19" s="1297"/>
      <c r="M19" s="1297"/>
      <c r="N19" s="1297"/>
      <c r="O19" s="1297"/>
      <c r="P19" s="1378"/>
    </row>
    <row r="20" spans="1:17" ht="13.5" customHeight="1" x14ac:dyDescent="0.2">
      <c r="A20" s="1719" t="s">
        <v>1085</v>
      </c>
      <c r="B20" s="1720"/>
      <c r="F20" s="1304"/>
      <c r="G20" s="1304"/>
      <c r="H20" s="1304"/>
      <c r="I20" s="1304"/>
      <c r="J20" s="1304"/>
      <c r="K20" s="1297"/>
      <c r="L20" s="1297"/>
      <c r="M20" s="1297"/>
      <c r="N20" s="1297"/>
      <c r="O20" s="1297"/>
      <c r="P20" s="1378"/>
    </row>
    <row r="21" spans="1:17" ht="13.5" customHeight="1" x14ac:dyDescent="0.2">
      <c r="A21" s="1715" t="s">
        <v>1087</v>
      </c>
      <c r="B21" s="2082"/>
      <c r="F21" s="1304"/>
      <c r="G21" s="1304"/>
      <c r="H21" s="1304"/>
      <c r="I21" s="1304"/>
      <c r="J21" s="1304"/>
      <c r="K21" s="1297"/>
      <c r="L21" s="1297"/>
      <c r="M21" s="1297"/>
      <c r="N21" s="1297"/>
      <c r="O21" s="1297"/>
      <c r="P21" s="1378"/>
    </row>
    <row r="22" spans="1:17" ht="13.5" customHeight="1" x14ac:dyDescent="0.2">
      <c r="A22" s="1715" t="s">
        <v>1089</v>
      </c>
      <c r="B22" s="2082"/>
      <c r="F22" s="1304"/>
      <c r="G22" s="1304"/>
      <c r="H22" s="1304"/>
      <c r="I22" s="1304"/>
      <c r="J22" s="1304"/>
      <c r="K22" s="1297"/>
      <c r="L22" s="1297"/>
      <c r="M22" s="1297"/>
      <c r="N22" s="1297"/>
      <c r="O22" s="1297"/>
      <c r="P22" s="1378"/>
    </row>
    <row r="23" spans="1:17" ht="13.5" customHeight="1" x14ac:dyDescent="0.2">
      <c r="A23" s="1715" t="s">
        <v>1663</v>
      </c>
      <c r="B23" s="2082"/>
      <c r="F23" s="1304"/>
      <c r="G23" s="1304"/>
      <c r="H23" s="1304"/>
      <c r="I23" s="1304"/>
      <c r="J23" s="1304"/>
      <c r="K23" s="1297"/>
      <c r="L23" s="1297"/>
      <c r="M23" s="1297"/>
      <c r="N23" s="1297"/>
      <c r="O23" s="1297"/>
      <c r="P23" s="1378"/>
    </row>
    <row r="24" spans="1:17" ht="13.5" customHeight="1" x14ac:dyDescent="0.2">
      <c r="A24" s="1716" t="s">
        <v>1664</v>
      </c>
      <c r="B24" s="2083"/>
      <c r="F24" s="1304"/>
      <c r="G24" s="1304"/>
      <c r="H24" s="1304"/>
      <c r="I24" s="1304"/>
      <c r="J24" s="1304"/>
      <c r="K24" s="1297"/>
      <c r="L24" s="1297"/>
      <c r="M24" s="1297"/>
      <c r="N24" s="1297"/>
      <c r="O24" s="1297"/>
      <c r="P24" s="1378"/>
    </row>
    <row r="25" spans="1:17" ht="13.5" customHeight="1" x14ac:dyDescent="0.2">
      <c r="A25" s="1717"/>
      <c r="B25" s="1718"/>
      <c r="F25" s="1304"/>
      <c r="G25" s="1304"/>
      <c r="H25" s="1304"/>
      <c r="I25" s="1304"/>
      <c r="J25" s="1304"/>
      <c r="K25" s="1297"/>
      <c r="L25" s="1297"/>
      <c r="M25" s="1297"/>
      <c r="N25" s="1297"/>
      <c r="O25" s="1297"/>
      <c r="P25" s="1378"/>
    </row>
    <row r="26" spans="1:17" ht="13.5" customHeight="1" x14ac:dyDescent="0.2">
      <c r="A26" s="1719" t="s">
        <v>1093</v>
      </c>
      <c r="B26" s="1721"/>
      <c r="F26" s="1304"/>
      <c r="G26" s="1304"/>
      <c r="H26" s="1304"/>
      <c r="I26" s="1304"/>
      <c r="J26" s="1304"/>
      <c r="K26" s="1297"/>
      <c r="L26" s="1297"/>
      <c r="M26" s="1297"/>
      <c r="N26" s="1297"/>
      <c r="O26" s="1297"/>
      <c r="P26" s="1378"/>
    </row>
    <row r="27" spans="1:17" ht="13.5" customHeight="1" x14ac:dyDescent="0.2">
      <c r="A27" s="1715" t="s">
        <v>1095</v>
      </c>
      <c r="B27" s="2082"/>
      <c r="F27" s="1304"/>
      <c r="G27" s="1304"/>
      <c r="H27" s="1304"/>
      <c r="I27" s="1304"/>
      <c r="J27" s="1304"/>
      <c r="K27" s="1297"/>
      <c r="L27" s="1297"/>
      <c r="M27" s="1297"/>
      <c r="N27" s="1297"/>
      <c r="O27" s="1297"/>
      <c r="P27" s="1378"/>
    </row>
    <row r="28" spans="1:17" ht="13.5" customHeight="1" x14ac:dyDescent="0.2">
      <c r="A28" s="1716" t="s">
        <v>1097</v>
      </c>
      <c r="B28" s="2084"/>
      <c r="I28" s="1305"/>
      <c r="J28" s="1304"/>
      <c r="K28" s="1304"/>
      <c r="L28" s="1304"/>
      <c r="M28" s="1304"/>
      <c r="N28" s="1304"/>
      <c r="O28" s="1304"/>
      <c r="P28" s="1378"/>
    </row>
    <row r="29" spans="1:17" ht="13.5" customHeight="1" x14ac:dyDescent="0.2">
      <c r="A29" s="1717"/>
      <c r="B29" s="1722"/>
      <c r="I29" s="1305"/>
      <c r="J29" s="1305"/>
      <c r="K29" s="1305"/>
      <c r="L29" s="1305"/>
      <c r="M29" s="1305"/>
      <c r="N29" s="1305"/>
      <c r="O29" s="1305"/>
      <c r="P29" s="1378"/>
    </row>
    <row r="30" spans="1:17" ht="13.5" customHeight="1" thickBot="1" x14ac:dyDescent="0.25">
      <c r="A30" s="2631" t="s">
        <v>1099</v>
      </c>
      <c r="B30" s="2632"/>
      <c r="C30" s="2636"/>
      <c r="D30" s="2637"/>
      <c r="I30" s="1305"/>
      <c r="J30" s="1305"/>
      <c r="K30" s="1305"/>
      <c r="L30" s="1305"/>
      <c r="M30" s="1305"/>
      <c r="N30" s="1305"/>
      <c r="O30" s="1305"/>
      <c r="P30" s="1378"/>
    </row>
    <row r="31" spans="1:17" ht="13.5" customHeight="1" thickTop="1" x14ac:dyDescent="0.2">
      <c r="A31" s="1719" t="s">
        <v>1100</v>
      </c>
      <c r="B31" s="1720"/>
      <c r="C31" s="2638" t="s">
        <v>1101</v>
      </c>
      <c r="D31" s="2639"/>
      <c r="I31" s="1305"/>
      <c r="J31" s="1305"/>
      <c r="K31" s="1305"/>
      <c r="L31" s="1305"/>
      <c r="M31" s="1305"/>
      <c r="N31" s="1305"/>
      <c r="O31" s="1305"/>
      <c r="P31" s="1378"/>
      <c r="Q31" s="1298"/>
    </row>
    <row r="32" spans="1:17" ht="13.5" customHeight="1" x14ac:dyDescent="0.2">
      <c r="A32" s="1715" t="s">
        <v>1103</v>
      </c>
      <c r="B32" s="2085"/>
      <c r="C32" s="1715" t="s">
        <v>1103</v>
      </c>
      <c r="D32" s="2085"/>
      <c r="I32" s="1305"/>
      <c r="J32" s="1305"/>
      <c r="K32" s="1305"/>
      <c r="L32" s="1305"/>
      <c r="M32" s="1305"/>
      <c r="N32" s="1305"/>
      <c r="O32" s="1305"/>
      <c r="P32" s="1378"/>
      <c r="Q32" s="1305"/>
    </row>
    <row r="33" spans="1:17" ht="13.5" customHeight="1" x14ac:dyDescent="0.2">
      <c r="A33" s="1715" t="s">
        <v>1095</v>
      </c>
      <c r="B33" s="2085"/>
      <c r="C33" s="1715" t="s">
        <v>1095</v>
      </c>
      <c r="D33" s="2085"/>
      <c r="F33" s="1295"/>
      <c r="G33" s="1297"/>
      <c r="I33" s="1305"/>
      <c r="J33" s="1305"/>
      <c r="K33" s="1305"/>
      <c r="L33" s="1305"/>
      <c r="M33" s="1305"/>
      <c r="N33" s="1305"/>
      <c r="O33" s="1305"/>
      <c r="P33" s="1378"/>
      <c r="Q33" s="1305"/>
    </row>
    <row r="34" spans="1:17" ht="13.5" customHeight="1" x14ac:dyDescent="0.2">
      <c r="A34" s="1715" t="s">
        <v>1107</v>
      </c>
      <c r="B34" s="2085"/>
      <c r="C34" s="1715" t="s">
        <v>1107</v>
      </c>
      <c r="D34" s="2085"/>
      <c r="F34" s="1295"/>
      <c r="G34" s="1297"/>
      <c r="I34" s="1305"/>
      <c r="J34" s="1305"/>
      <c r="K34" s="1305"/>
      <c r="L34" s="1305"/>
      <c r="M34" s="1305"/>
      <c r="N34" s="1305"/>
      <c r="O34" s="1305"/>
      <c r="P34" s="1378"/>
    </row>
    <row r="35" spans="1:17" ht="13.5" customHeight="1" x14ac:dyDescent="0.2">
      <c r="A35" s="1715" t="s">
        <v>1097</v>
      </c>
      <c r="B35" s="2085"/>
      <c r="C35" s="1715" t="s">
        <v>1097</v>
      </c>
      <c r="D35" s="2085"/>
      <c r="F35" s="1296"/>
      <c r="G35" s="1297"/>
      <c r="I35" s="1305"/>
      <c r="J35" s="1305"/>
      <c r="K35" s="1305"/>
      <c r="L35" s="1305"/>
      <c r="M35" s="1305"/>
      <c r="N35" s="1305"/>
      <c r="O35" s="1305"/>
      <c r="P35" s="1378"/>
    </row>
    <row r="36" spans="1:17" ht="13.5" customHeight="1" x14ac:dyDescent="0.2">
      <c r="A36" s="1715" t="s">
        <v>1110</v>
      </c>
      <c r="B36" s="2085"/>
      <c r="C36" s="1715" t="s">
        <v>1110</v>
      </c>
      <c r="D36" s="2085"/>
      <c r="F36" s="1296"/>
      <c r="G36" s="1297"/>
      <c r="I36" s="1305"/>
      <c r="J36" s="1305"/>
      <c r="K36" s="1305"/>
      <c r="L36" s="1305"/>
      <c r="M36" s="1305"/>
      <c r="N36" s="1305"/>
      <c r="O36" s="1305"/>
      <c r="P36" s="1378"/>
    </row>
    <row r="37" spans="1:17" ht="13.5" customHeight="1" x14ac:dyDescent="0.2">
      <c r="A37" s="1715"/>
      <c r="B37" s="2085"/>
      <c r="C37" s="1715"/>
      <c r="D37" s="2085"/>
      <c r="F37" s="1296"/>
      <c r="G37" s="1297"/>
      <c r="I37" s="1305"/>
      <c r="J37" s="1305"/>
      <c r="K37" s="1305"/>
      <c r="L37" s="1305"/>
      <c r="M37" s="1305"/>
      <c r="N37" s="1305"/>
      <c r="O37" s="1305"/>
      <c r="P37" s="1378"/>
    </row>
    <row r="38" spans="1:17" ht="13.5" customHeight="1" x14ac:dyDescent="0.2">
      <c r="A38" s="2640" t="s">
        <v>1112</v>
      </c>
      <c r="B38" s="2641"/>
      <c r="C38" s="2640" t="s">
        <v>1113</v>
      </c>
      <c r="D38" s="2641"/>
      <c r="F38" s="1296"/>
      <c r="G38" s="1297"/>
      <c r="I38" s="1305"/>
      <c r="J38" s="1305"/>
      <c r="K38" s="1305"/>
      <c r="L38" s="1305"/>
      <c r="M38" s="1305"/>
      <c r="N38" s="1305"/>
      <c r="O38" s="1305"/>
      <c r="P38" s="1378"/>
    </row>
    <row r="39" spans="1:17" ht="13.5" customHeight="1" x14ac:dyDescent="0.2">
      <c r="A39" s="1715" t="s">
        <v>1103</v>
      </c>
      <c r="B39" s="2082"/>
      <c r="C39" s="1715" t="s">
        <v>1103</v>
      </c>
      <c r="D39" s="2082"/>
      <c r="F39" s="1296"/>
      <c r="G39" s="1297"/>
      <c r="I39" s="1305"/>
      <c r="J39" s="1305"/>
      <c r="K39" s="1305"/>
      <c r="L39" s="1305"/>
      <c r="M39" s="1305"/>
      <c r="N39" s="1305"/>
      <c r="O39" s="1305"/>
      <c r="P39" s="1378"/>
    </row>
    <row r="40" spans="1:17" ht="13.5" customHeight="1" x14ac:dyDescent="0.2">
      <c r="A40" s="1715" t="s">
        <v>1095</v>
      </c>
      <c r="B40" s="2082"/>
      <c r="C40" s="1715" t="s">
        <v>1095</v>
      </c>
      <c r="D40" s="2082"/>
      <c r="F40" s="1303"/>
      <c r="G40" s="1297"/>
      <c r="I40" s="1305"/>
      <c r="J40" s="1305"/>
      <c r="K40" s="1305"/>
      <c r="L40" s="1305"/>
      <c r="M40" s="1305"/>
      <c r="N40" s="1305"/>
      <c r="O40" s="1305"/>
      <c r="P40" s="1378"/>
    </row>
    <row r="41" spans="1:17" ht="13.5" customHeight="1" x14ac:dyDescent="0.2">
      <c r="A41" s="1715" t="s">
        <v>1107</v>
      </c>
      <c r="B41" s="2082"/>
      <c r="C41" s="1715" t="s">
        <v>1107</v>
      </c>
      <c r="D41" s="2082"/>
      <c r="F41" s="1304"/>
      <c r="G41" s="1297"/>
      <c r="I41" s="1305"/>
      <c r="J41" s="1305"/>
      <c r="K41" s="1305"/>
      <c r="L41" s="1305"/>
      <c r="M41" s="1305"/>
      <c r="N41" s="1305"/>
      <c r="O41" s="1305"/>
      <c r="P41" s="1378"/>
    </row>
    <row r="42" spans="1:17" ht="13.5" customHeight="1" x14ac:dyDescent="0.2">
      <c r="A42" s="1715" t="s">
        <v>1097</v>
      </c>
      <c r="B42" s="2082"/>
      <c r="C42" s="1715" t="s">
        <v>1097</v>
      </c>
      <c r="D42" s="2082"/>
      <c r="F42" s="1304"/>
      <c r="G42" s="1297"/>
      <c r="I42" s="1305"/>
      <c r="J42" s="1305"/>
      <c r="K42" s="1305"/>
      <c r="L42" s="1305"/>
      <c r="M42" s="1305"/>
      <c r="N42" s="1305"/>
      <c r="O42" s="1305"/>
      <c r="P42" s="1378"/>
    </row>
    <row r="43" spans="1:17" ht="13.5" customHeight="1" x14ac:dyDescent="0.2">
      <c r="A43" s="1723" t="s">
        <v>1110</v>
      </c>
      <c r="B43" s="2086"/>
      <c r="C43" s="1723" t="s">
        <v>1110</v>
      </c>
      <c r="D43" s="2086"/>
      <c r="F43" s="1304"/>
      <c r="G43" s="1297"/>
      <c r="I43" s="1305"/>
      <c r="J43" s="1305"/>
      <c r="K43" s="1305"/>
      <c r="L43" s="1305"/>
      <c r="M43" s="1305"/>
      <c r="N43" s="1305"/>
      <c r="O43" s="1305"/>
      <c r="P43" s="1378"/>
    </row>
    <row r="44" spans="1:17" ht="13.5" customHeight="1" x14ac:dyDescent="0.2">
      <c r="A44" s="1717"/>
      <c r="B44" s="1722"/>
      <c r="C44" s="1717"/>
      <c r="D44" s="1722"/>
      <c r="F44" s="1304"/>
      <c r="G44" s="1297"/>
      <c r="I44" s="1305"/>
      <c r="J44" s="1305"/>
      <c r="K44" s="1305"/>
      <c r="L44" s="1305"/>
      <c r="M44" s="1305"/>
      <c r="N44" s="1305"/>
      <c r="O44" s="1305"/>
      <c r="P44" s="1378"/>
    </row>
    <row r="45" spans="1:17" ht="13.5" customHeight="1" x14ac:dyDescent="0.2">
      <c r="A45" s="2640" t="s">
        <v>1120</v>
      </c>
      <c r="B45" s="2641"/>
      <c r="C45" s="2640" t="s">
        <v>1121</v>
      </c>
      <c r="D45" s="2641"/>
      <c r="F45" s="1304"/>
      <c r="G45" s="1297"/>
      <c r="I45" s="1305"/>
      <c r="J45" s="1305"/>
      <c r="K45" s="1305"/>
      <c r="L45" s="1305"/>
      <c r="M45" s="1305"/>
      <c r="N45" s="1305"/>
      <c r="O45" s="1305"/>
      <c r="P45" s="1378"/>
    </row>
    <row r="46" spans="1:17" ht="13.5" customHeight="1" x14ac:dyDescent="0.2">
      <c r="A46" s="1715" t="s">
        <v>1103</v>
      </c>
      <c r="B46" s="2082"/>
      <c r="C46" s="1715" t="s">
        <v>1103</v>
      </c>
      <c r="D46" s="2082"/>
      <c r="F46" s="1304"/>
      <c r="G46" s="1297"/>
      <c r="I46" s="1305"/>
      <c r="J46" s="1305"/>
      <c r="K46" s="1305"/>
      <c r="L46" s="1305"/>
      <c r="M46" s="1305"/>
      <c r="N46" s="1305"/>
      <c r="O46" s="1305"/>
      <c r="P46" s="1378"/>
    </row>
    <row r="47" spans="1:17" s="1292" customFormat="1" ht="13.5" customHeight="1" x14ac:dyDescent="0.2">
      <c r="A47" s="1715" t="s">
        <v>1095</v>
      </c>
      <c r="B47" s="2082"/>
      <c r="C47" s="1715" t="s">
        <v>1095</v>
      </c>
      <c r="D47" s="2082"/>
      <c r="E47" s="1291"/>
      <c r="F47" s="1304"/>
      <c r="G47" s="1297"/>
      <c r="I47" s="1305"/>
      <c r="J47" s="1305"/>
      <c r="K47" s="1305"/>
      <c r="L47" s="1305"/>
      <c r="M47" s="1305"/>
      <c r="N47" s="1305"/>
      <c r="O47" s="1305"/>
      <c r="P47" s="1378"/>
    </row>
    <row r="48" spans="1:17" s="1292" customFormat="1" ht="13.5" customHeight="1" x14ac:dyDescent="0.2">
      <c r="A48" s="1715" t="s">
        <v>1107</v>
      </c>
      <c r="B48" s="2082"/>
      <c r="C48" s="1715" t="s">
        <v>1107</v>
      </c>
      <c r="D48" s="2082"/>
      <c r="E48" s="1291"/>
      <c r="F48" s="1304"/>
      <c r="G48" s="1297"/>
      <c r="I48" s="1305"/>
      <c r="J48" s="1305"/>
      <c r="K48" s="1305"/>
      <c r="L48" s="1305"/>
      <c r="M48" s="1305"/>
      <c r="N48" s="1305"/>
      <c r="O48" s="1305"/>
      <c r="P48" s="1378"/>
    </row>
    <row r="49" spans="1:17" s="1292" customFormat="1" ht="13.5" customHeight="1" x14ac:dyDescent="0.2">
      <c r="A49" s="1715" t="s">
        <v>1097</v>
      </c>
      <c r="B49" s="2082"/>
      <c r="C49" s="1715" t="s">
        <v>1097</v>
      </c>
      <c r="D49" s="2082"/>
      <c r="E49" s="1291"/>
      <c r="F49" s="1304"/>
      <c r="G49" s="1297"/>
      <c r="I49" s="1305"/>
      <c r="J49" s="1305"/>
      <c r="K49" s="1305"/>
      <c r="L49" s="1305"/>
      <c r="M49" s="1305"/>
      <c r="N49" s="1305"/>
      <c r="O49" s="1305"/>
      <c r="P49" s="1378"/>
    </row>
    <row r="50" spans="1:17" s="1292" customFormat="1" ht="13.5" customHeight="1" x14ac:dyDescent="0.2">
      <c r="A50" s="1716" t="s">
        <v>1110</v>
      </c>
      <c r="B50" s="2084"/>
      <c r="C50" s="1716" t="s">
        <v>1110</v>
      </c>
      <c r="D50" s="2084"/>
      <c r="E50" s="1291"/>
      <c r="F50" s="1304"/>
      <c r="G50" s="1297"/>
      <c r="I50" s="1305"/>
      <c r="J50" s="1305"/>
      <c r="K50" s="1305"/>
      <c r="L50" s="1305"/>
      <c r="M50" s="1305"/>
      <c r="N50" s="1305"/>
      <c r="O50" s="1305"/>
      <c r="P50" s="1378"/>
    </row>
    <row r="51" spans="1:17" s="1292" customFormat="1" ht="13.5" customHeight="1" x14ac:dyDescent="0.2">
      <c r="A51" s="1717"/>
      <c r="B51" s="1722"/>
      <c r="C51" s="1717"/>
      <c r="D51" s="1722"/>
      <c r="E51" s="1291"/>
      <c r="F51" s="1304"/>
      <c r="G51" s="1297"/>
      <c r="I51" s="1305"/>
      <c r="J51" s="1305"/>
      <c r="K51" s="1305"/>
      <c r="L51" s="1305"/>
      <c r="M51" s="1305"/>
      <c r="N51" s="1305"/>
      <c r="O51" s="1305"/>
      <c r="P51" s="1378"/>
    </row>
    <row r="52" spans="1:17" s="1292" customFormat="1" ht="13.5" customHeight="1" thickBot="1" x14ac:dyDescent="0.25">
      <c r="A52" s="2644" t="s">
        <v>1123</v>
      </c>
      <c r="B52" s="2645"/>
      <c r="C52" s="2648"/>
      <c r="D52" s="2649"/>
      <c r="E52" s="1291"/>
      <c r="F52" s="1304"/>
      <c r="G52" s="1297"/>
      <c r="I52" s="1305"/>
      <c r="J52" s="1305"/>
      <c r="K52" s="1305"/>
      <c r="L52" s="1305"/>
      <c r="M52" s="1305"/>
      <c r="N52" s="1305"/>
      <c r="O52" s="1305"/>
      <c r="P52" s="1378"/>
    </row>
    <row r="53" spans="1:17" s="1308" customFormat="1" ht="13.5" customHeight="1" thickTop="1" x14ac:dyDescent="0.2">
      <c r="A53" s="1719" t="s">
        <v>1124</v>
      </c>
      <c r="B53" s="1720"/>
      <c r="C53" s="2640" t="s">
        <v>1125</v>
      </c>
      <c r="D53" s="2641"/>
      <c r="E53" s="1294"/>
      <c r="F53" s="1306"/>
      <c r="G53" s="1307"/>
      <c r="I53" s="1309"/>
      <c r="J53" s="1309"/>
      <c r="K53" s="1309"/>
      <c r="L53" s="1309"/>
      <c r="M53" s="1309"/>
      <c r="N53" s="1309"/>
      <c r="O53" s="1309"/>
      <c r="P53" s="1378"/>
      <c r="Q53" s="1292"/>
    </row>
    <row r="54" spans="1:17" s="1308" customFormat="1" ht="13.5" customHeight="1" x14ac:dyDescent="0.2">
      <c r="A54" s="1715" t="s">
        <v>1103</v>
      </c>
      <c r="B54" s="2082"/>
      <c r="C54" s="1715" t="s">
        <v>1103</v>
      </c>
      <c r="D54" s="2082"/>
      <c r="E54" s="1294"/>
      <c r="F54" s="1306"/>
      <c r="G54" s="1307"/>
      <c r="I54" s="1309"/>
      <c r="J54" s="1309"/>
      <c r="K54" s="1309"/>
      <c r="L54" s="1309"/>
      <c r="M54" s="1309"/>
      <c r="N54" s="1309"/>
      <c r="O54" s="1309"/>
      <c r="P54" s="1378"/>
      <c r="Q54" s="1292"/>
    </row>
    <row r="55" spans="1:17" s="1292" customFormat="1" ht="13.5" customHeight="1" x14ac:dyDescent="0.2">
      <c r="A55" s="1715" t="s">
        <v>1095</v>
      </c>
      <c r="B55" s="2082"/>
      <c r="C55" s="1715" t="s">
        <v>1095</v>
      </c>
      <c r="D55" s="2082"/>
      <c r="E55" s="1291"/>
      <c r="F55" s="1304"/>
      <c r="G55" s="1297"/>
      <c r="I55" s="1305"/>
      <c r="J55" s="1305"/>
      <c r="K55" s="1305"/>
      <c r="L55" s="1305"/>
      <c r="M55" s="1305"/>
      <c r="N55" s="1305"/>
      <c r="O55" s="1305"/>
      <c r="P55" s="1378"/>
    </row>
    <row r="56" spans="1:17" s="1292" customFormat="1" ht="13.5" customHeight="1" x14ac:dyDescent="0.2">
      <c r="A56" s="1715" t="s">
        <v>1107</v>
      </c>
      <c r="B56" s="2082"/>
      <c r="C56" s="1715" t="s">
        <v>1107</v>
      </c>
      <c r="D56" s="2082"/>
      <c r="E56" s="1291"/>
      <c r="F56" s="1304"/>
      <c r="G56" s="1297"/>
      <c r="I56" s="1305"/>
      <c r="J56" s="1305"/>
      <c r="K56" s="1305"/>
      <c r="L56" s="1305"/>
      <c r="M56" s="1305"/>
      <c r="N56" s="1305"/>
      <c r="O56" s="1305"/>
      <c r="P56" s="1378"/>
    </row>
    <row r="57" spans="1:17" s="1292" customFormat="1" ht="13.5" customHeight="1" x14ac:dyDescent="0.2">
      <c r="A57" s="1715" t="s">
        <v>1097</v>
      </c>
      <c r="B57" s="2082"/>
      <c r="C57" s="1715" t="s">
        <v>1097</v>
      </c>
      <c r="D57" s="2082"/>
      <c r="E57" s="1291"/>
      <c r="F57" s="1304"/>
      <c r="G57" s="1297"/>
      <c r="I57" s="1305"/>
      <c r="J57" s="1305"/>
      <c r="K57" s="1305"/>
      <c r="L57" s="1305"/>
      <c r="M57" s="1305"/>
      <c r="N57" s="1305"/>
      <c r="O57" s="1305"/>
      <c r="P57" s="1378"/>
    </row>
    <row r="58" spans="1:17" ht="13.5" customHeight="1" x14ac:dyDescent="0.2">
      <c r="A58" s="1716" t="s">
        <v>1110</v>
      </c>
      <c r="B58" s="2087"/>
      <c r="C58" s="1716" t="s">
        <v>1110</v>
      </c>
      <c r="D58" s="2084"/>
      <c r="F58" s="1304"/>
      <c r="G58" s="1297"/>
      <c r="I58" s="1305"/>
      <c r="J58" s="1305"/>
      <c r="K58" s="1305"/>
      <c r="L58" s="1305"/>
      <c r="M58" s="1305"/>
      <c r="N58" s="1305"/>
      <c r="O58" s="1305"/>
      <c r="P58" s="1378"/>
    </row>
    <row r="59" spans="1:17" ht="13.5" customHeight="1" x14ac:dyDescent="0.2">
      <c r="A59" s="1717"/>
      <c r="B59" s="1722"/>
      <c r="C59" s="1717"/>
      <c r="D59" s="1722"/>
      <c r="F59" s="1304"/>
      <c r="G59" s="1297"/>
      <c r="I59" s="1305"/>
      <c r="J59" s="1305"/>
      <c r="K59" s="1305"/>
      <c r="L59" s="1305"/>
      <c r="M59" s="1305"/>
      <c r="N59" s="1305"/>
      <c r="O59" s="1305"/>
      <c r="P59" s="1378"/>
    </row>
    <row r="60" spans="1:17" ht="13.5" customHeight="1" x14ac:dyDescent="0.2">
      <c r="A60" s="1724" t="s">
        <v>1126</v>
      </c>
      <c r="B60" s="1721"/>
      <c r="C60" s="2640" t="s">
        <v>1127</v>
      </c>
      <c r="D60" s="2641"/>
      <c r="F60" s="1304"/>
      <c r="G60" s="1297"/>
      <c r="I60" s="1305"/>
      <c r="J60" s="1305"/>
      <c r="K60" s="1305"/>
      <c r="L60" s="1305"/>
      <c r="M60" s="1305"/>
      <c r="N60" s="1305"/>
      <c r="O60" s="1305"/>
      <c r="P60" s="1378"/>
    </row>
    <row r="61" spans="1:17" s="1310" customFormat="1" ht="13.5" customHeight="1" x14ac:dyDescent="0.2">
      <c r="A61" s="1715" t="s">
        <v>1103</v>
      </c>
      <c r="B61" s="2082" t="s">
        <v>2291</v>
      </c>
      <c r="C61" s="1715" t="s">
        <v>1103</v>
      </c>
      <c r="D61" s="2082"/>
      <c r="E61" s="1294"/>
      <c r="F61" s="1306"/>
      <c r="G61" s="1307"/>
      <c r="H61" s="1308"/>
      <c r="I61" s="1309"/>
      <c r="J61" s="1309"/>
      <c r="K61" s="1309"/>
      <c r="L61" s="1309"/>
      <c r="M61" s="1309"/>
      <c r="N61" s="1309"/>
      <c r="O61" s="1309"/>
      <c r="P61" s="1378"/>
      <c r="Q61" s="1292"/>
    </row>
    <row r="62" spans="1:17" ht="13.5" customHeight="1" x14ac:dyDescent="0.2">
      <c r="A62" s="1715" t="s">
        <v>1095</v>
      </c>
      <c r="B62" s="2082" t="s">
        <v>2292</v>
      </c>
      <c r="C62" s="1715" t="s">
        <v>1095</v>
      </c>
      <c r="D62" s="2082"/>
      <c r="F62" s="1304"/>
      <c r="G62" s="1297"/>
      <c r="I62" s="1305"/>
      <c r="J62" s="1305"/>
      <c r="K62" s="1305"/>
      <c r="L62" s="1305"/>
      <c r="M62" s="1305"/>
      <c r="N62" s="1305"/>
      <c r="O62" s="1305"/>
      <c r="P62" s="1378"/>
    </row>
    <row r="63" spans="1:17" ht="13.5" customHeight="1" x14ac:dyDescent="0.2">
      <c r="A63" s="1715" t="s">
        <v>1107</v>
      </c>
      <c r="B63" s="2082"/>
      <c r="C63" s="1715" t="s">
        <v>1107</v>
      </c>
      <c r="D63" s="2082"/>
      <c r="F63" s="1304"/>
      <c r="G63" s="1297"/>
      <c r="I63" s="1305"/>
      <c r="J63" s="1305"/>
      <c r="K63" s="1305"/>
      <c r="L63" s="1305"/>
      <c r="M63" s="1305"/>
      <c r="N63" s="1305"/>
      <c r="O63" s="1305"/>
      <c r="P63" s="1378"/>
    </row>
    <row r="64" spans="1:17" ht="13.5" customHeight="1" x14ac:dyDescent="0.2">
      <c r="A64" s="1715" t="s">
        <v>1097</v>
      </c>
      <c r="B64" s="2082"/>
      <c r="C64" s="1715" t="s">
        <v>1097</v>
      </c>
      <c r="D64" s="2082"/>
      <c r="F64" s="1304"/>
      <c r="G64" s="1297"/>
      <c r="I64" s="1305"/>
      <c r="J64" s="1305"/>
      <c r="K64" s="1305"/>
      <c r="L64" s="1305"/>
      <c r="M64" s="1305"/>
      <c r="N64" s="1305"/>
      <c r="O64" s="1305"/>
      <c r="P64" s="1378"/>
    </row>
    <row r="65" spans="1:17" ht="13.5" customHeight="1" x14ac:dyDescent="0.2">
      <c r="A65" s="1716" t="s">
        <v>1110</v>
      </c>
      <c r="B65" s="2087" t="s">
        <v>2293</v>
      </c>
      <c r="C65" s="1716" t="s">
        <v>1110</v>
      </c>
      <c r="D65" s="2084"/>
      <c r="F65" s="1304"/>
      <c r="G65" s="1297"/>
      <c r="I65" s="1305"/>
      <c r="J65" s="1305"/>
      <c r="K65" s="1305"/>
      <c r="L65" s="1305"/>
      <c r="M65" s="1305"/>
      <c r="N65" s="1305"/>
      <c r="O65" s="1305"/>
      <c r="P65" s="1378"/>
    </row>
    <row r="66" spans="1:17" ht="13.5" customHeight="1" x14ac:dyDescent="0.2">
      <c r="A66" s="1717"/>
      <c r="B66" s="1722"/>
      <c r="C66" s="1717"/>
      <c r="D66" s="1722"/>
      <c r="F66" s="1304"/>
      <c r="G66" s="1297"/>
      <c r="I66" s="1305"/>
      <c r="J66" s="1305"/>
      <c r="K66" s="1305"/>
      <c r="L66" s="1305"/>
      <c r="M66" s="1305"/>
      <c r="N66" s="1305"/>
      <c r="O66" s="1305"/>
      <c r="P66" s="1378"/>
    </row>
    <row r="67" spans="1:17" ht="13.5" customHeight="1" x14ac:dyDescent="0.2">
      <c r="A67" s="2640" t="s">
        <v>1128</v>
      </c>
      <c r="B67" s="2641"/>
      <c r="C67" s="2646"/>
      <c r="D67" s="2647"/>
      <c r="F67" s="1304"/>
      <c r="G67" s="1297"/>
      <c r="I67" s="1305"/>
      <c r="J67" s="1305"/>
      <c r="K67" s="1305"/>
      <c r="L67" s="1305"/>
      <c r="M67" s="1305"/>
      <c r="N67" s="1305"/>
      <c r="O67" s="1305"/>
      <c r="P67" s="1378"/>
    </row>
    <row r="68" spans="1:17" s="1310" customFormat="1" ht="13.5" customHeight="1" x14ac:dyDescent="0.2">
      <c r="A68" s="1715" t="s">
        <v>1103</v>
      </c>
      <c r="B68" s="2082"/>
      <c r="C68" s="1725"/>
      <c r="D68" s="1726"/>
      <c r="E68" s="1294"/>
      <c r="F68" s="1306"/>
      <c r="G68" s="1307"/>
      <c r="H68" s="1308"/>
      <c r="I68" s="1309"/>
      <c r="J68" s="1309"/>
      <c r="K68" s="1309"/>
      <c r="L68" s="1309"/>
      <c r="M68" s="1309"/>
      <c r="N68" s="1309"/>
      <c r="O68" s="1309"/>
      <c r="P68" s="1378"/>
      <c r="Q68" s="1292"/>
    </row>
    <row r="69" spans="1:17" ht="13.5" customHeight="1" x14ac:dyDescent="0.2">
      <c r="A69" s="1715" t="s">
        <v>1095</v>
      </c>
      <c r="B69" s="2082"/>
      <c r="C69" s="1725"/>
      <c r="D69" s="1726"/>
      <c r="F69" s="1304"/>
      <c r="G69" s="1297"/>
      <c r="I69" s="1305"/>
      <c r="J69" s="1305"/>
      <c r="K69" s="1305"/>
      <c r="L69" s="1305"/>
      <c r="M69" s="1305"/>
      <c r="N69" s="1305"/>
      <c r="O69" s="1305"/>
      <c r="P69" s="1378"/>
    </row>
    <row r="70" spans="1:17" ht="13.5" customHeight="1" x14ac:dyDescent="0.2">
      <c r="A70" s="1715" t="s">
        <v>1107</v>
      </c>
      <c r="B70" s="2082"/>
      <c r="C70" s="1725"/>
      <c r="D70" s="1726"/>
      <c r="F70" s="1304"/>
      <c r="G70" s="1297"/>
      <c r="I70" s="1305"/>
      <c r="J70" s="1305"/>
      <c r="K70" s="1305"/>
      <c r="L70" s="1305"/>
      <c r="M70" s="1305"/>
      <c r="N70" s="1305"/>
      <c r="O70" s="1305"/>
      <c r="P70" s="1378"/>
    </row>
    <row r="71" spans="1:17" ht="13.5" customHeight="1" x14ac:dyDescent="0.2">
      <c r="A71" s="1715" t="s">
        <v>1097</v>
      </c>
      <c r="B71" s="2082"/>
      <c r="C71" s="1725"/>
      <c r="D71" s="1726"/>
      <c r="F71" s="1304"/>
      <c r="G71" s="1297"/>
      <c r="I71" s="1305"/>
      <c r="J71" s="1305"/>
      <c r="K71" s="1305"/>
      <c r="L71" s="1305"/>
      <c r="M71" s="1305"/>
      <c r="N71" s="1305"/>
      <c r="O71" s="1305"/>
      <c r="P71" s="1378"/>
    </row>
    <row r="72" spans="1:17" ht="13.5" customHeight="1" x14ac:dyDescent="0.2">
      <c r="A72" s="1715" t="s">
        <v>1110</v>
      </c>
      <c r="B72" s="2082"/>
      <c r="C72" s="1725"/>
      <c r="D72" s="1726"/>
      <c r="F72" s="1304"/>
      <c r="G72" s="1297"/>
      <c r="I72" s="1305"/>
      <c r="J72" s="1305"/>
      <c r="K72" s="1305"/>
      <c r="L72" s="1305"/>
      <c r="M72" s="1305"/>
      <c r="N72" s="1305"/>
      <c r="O72" s="1305"/>
      <c r="P72" s="1378"/>
    </row>
    <row r="73" spans="1:17" ht="13.5" customHeight="1" x14ac:dyDescent="0.2">
      <c r="A73" s="2640" t="s">
        <v>1128</v>
      </c>
      <c r="B73" s="2641"/>
      <c r="C73" s="2642"/>
      <c r="D73" s="2643"/>
      <c r="F73" s="1304"/>
      <c r="G73" s="1297"/>
      <c r="I73" s="1305"/>
      <c r="J73" s="1305"/>
      <c r="K73" s="1305"/>
      <c r="L73" s="1305"/>
      <c r="M73" s="1305"/>
      <c r="N73" s="1305"/>
      <c r="O73" s="1305"/>
      <c r="P73" s="1378"/>
    </row>
    <row r="74" spans="1:17" ht="13.5" customHeight="1" x14ac:dyDescent="0.2">
      <c r="A74" s="1715" t="s">
        <v>1103</v>
      </c>
      <c r="B74" s="2082"/>
      <c r="C74" s="1725"/>
      <c r="D74" s="1726"/>
      <c r="F74" s="1304"/>
      <c r="G74" s="1297"/>
      <c r="I74" s="1305"/>
      <c r="J74" s="1305"/>
      <c r="K74" s="1305"/>
      <c r="L74" s="1305"/>
      <c r="M74" s="1305"/>
      <c r="N74" s="1305"/>
      <c r="O74" s="1305"/>
      <c r="P74" s="1378"/>
    </row>
    <row r="75" spans="1:17" ht="13.5" customHeight="1" x14ac:dyDescent="0.2">
      <c r="A75" s="1715" t="s">
        <v>1095</v>
      </c>
      <c r="B75" s="2082"/>
      <c r="C75" s="1725"/>
      <c r="D75" s="1726"/>
      <c r="F75" s="1304"/>
      <c r="G75" s="1297"/>
      <c r="I75" s="1305"/>
      <c r="J75" s="1305"/>
      <c r="K75" s="1305"/>
      <c r="L75" s="1305"/>
      <c r="M75" s="1305"/>
      <c r="N75" s="1305"/>
      <c r="O75" s="1305"/>
      <c r="P75" s="1378"/>
    </row>
    <row r="76" spans="1:17" s="1292" customFormat="1" ht="13.5" customHeight="1" x14ac:dyDescent="0.2">
      <c r="A76" s="1715" t="s">
        <v>1107</v>
      </c>
      <c r="B76" s="2082"/>
      <c r="C76" s="1725"/>
      <c r="D76" s="1726"/>
      <c r="E76" s="1291"/>
      <c r="F76" s="1304"/>
      <c r="G76" s="1297"/>
      <c r="I76" s="1305"/>
      <c r="J76" s="1305"/>
      <c r="K76" s="1305"/>
      <c r="L76" s="1305"/>
      <c r="M76" s="1305"/>
      <c r="N76" s="1305"/>
      <c r="O76" s="1305"/>
      <c r="P76" s="1378"/>
    </row>
    <row r="77" spans="1:17" s="1292" customFormat="1" ht="13.5" customHeight="1" x14ac:dyDescent="0.2">
      <c r="A77" s="1715" t="s">
        <v>1097</v>
      </c>
      <c r="B77" s="2082"/>
      <c r="C77" s="1725"/>
      <c r="D77" s="1726"/>
      <c r="E77" s="1291"/>
      <c r="F77" s="1304"/>
      <c r="G77" s="1297"/>
      <c r="I77" s="1305"/>
      <c r="J77" s="1305"/>
      <c r="K77" s="1305"/>
      <c r="L77" s="1305"/>
      <c r="M77" s="1305"/>
      <c r="N77" s="1305"/>
      <c r="O77" s="1305"/>
      <c r="P77" s="1378"/>
    </row>
    <row r="78" spans="1:17" s="1292" customFormat="1" ht="13.5" customHeight="1" x14ac:dyDescent="0.2">
      <c r="A78" s="1715" t="s">
        <v>1110</v>
      </c>
      <c r="B78" s="2082"/>
      <c r="C78" s="1725"/>
      <c r="D78" s="1726"/>
      <c r="E78" s="1291"/>
      <c r="F78" s="1304"/>
      <c r="G78" s="1297"/>
      <c r="I78" s="1305"/>
      <c r="J78" s="1305"/>
      <c r="K78" s="1305"/>
      <c r="L78" s="1305"/>
      <c r="M78" s="1305"/>
      <c r="N78" s="1305"/>
      <c r="O78" s="1305"/>
      <c r="P78" s="1378"/>
    </row>
    <row r="79" spans="1:17" s="1292" customFormat="1" ht="13.5" customHeight="1" x14ac:dyDescent="0.2">
      <c r="A79" s="2640" t="s">
        <v>1128</v>
      </c>
      <c r="B79" s="2641"/>
      <c r="C79" s="2642"/>
      <c r="D79" s="2643"/>
      <c r="E79" s="1291"/>
      <c r="F79" s="1304"/>
      <c r="G79" s="1297"/>
      <c r="I79" s="1305"/>
      <c r="J79" s="1305"/>
      <c r="K79" s="1305"/>
      <c r="L79" s="1305"/>
      <c r="M79" s="1305"/>
      <c r="N79" s="1305"/>
      <c r="O79" s="1305"/>
      <c r="P79" s="1378"/>
    </row>
    <row r="80" spans="1:17" s="1292" customFormat="1" ht="13.5" customHeight="1" x14ac:dyDescent="0.2">
      <c r="A80" s="1715" t="s">
        <v>1103</v>
      </c>
      <c r="B80" s="2082"/>
      <c r="C80" s="1725"/>
      <c r="D80" s="1726"/>
      <c r="E80" s="1291"/>
      <c r="F80" s="1304"/>
      <c r="G80" s="1297"/>
      <c r="I80" s="1305"/>
      <c r="J80" s="1305"/>
      <c r="K80" s="1305"/>
      <c r="L80" s="1305"/>
      <c r="M80" s="1305"/>
      <c r="N80" s="1305"/>
      <c r="O80" s="1305"/>
      <c r="P80" s="1378"/>
    </row>
    <row r="81" spans="1:25" s="1292" customFormat="1" ht="13.5" customHeight="1" x14ac:dyDescent="0.2">
      <c r="A81" s="1715" t="s">
        <v>1095</v>
      </c>
      <c r="B81" s="2082"/>
      <c r="C81" s="1725"/>
      <c r="D81" s="1726"/>
      <c r="E81" s="1291"/>
      <c r="F81" s="1304"/>
      <c r="G81" s="1297"/>
      <c r="I81" s="1305"/>
      <c r="J81" s="1305"/>
      <c r="K81" s="1305"/>
      <c r="L81" s="1305"/>
      <c r="M81" s="1305"/>
      <c r="N81" s="1305"/>
      <c r="O81" s="1305"/>
      <c r="P81" s="1378"/>
    </row>
    <row r="82" spans="1:25" s="1292" customFormat="1" ht="13.5" customHeight="1" x14ac:dyDescent="0.2">
      <c r="A82" s="1715" t="s">
        <v>1107</v>
      </c>
      <c r="B82" s="2082"/>
      <c r="C82" s="1725"/>
      <c r="D82" s="1726"/>
      <c r="E82" s="1291"/>
      <c r="F82" s="1304"/>
      <c r="G82" s="1297"/>
      <c r="I82" s="1305"/>
      <c r="J82" s="1305"/>
      <c r="K82" s="1305"/>
      <c r="L82" s="1305"/>
      <c r="M82" s="1305"/>
      <c r="N82" s="1305"/>
      <c r="O82" s="1305"/>
      <c r="P82" s="1378"/>
    </row>
    <row r="83" spans="1:25" s="1292" customFormat="1" ht="13.5" customHeight="1" x14ac:dyDescent="0.2">
      <c r="A83" s="1715" t="s">
        <v>1097</v>
      </c>
      <c r="B83" s="2082"/>
      <c r="C83" s="1725"/>
      <c r="D83" s="1726"/>
      <c r="E83" s="1291"/>
      <c r="F83" s="1304"/>
      <c r="G83" s="1297"/>
      <c r="I83" s="1305"/>
      <c r="J83" s="1305"/>
      <c r="K83" s="1305"/>
      <c r="L83" s="1305"/>
      <c r="M83" s="1305"/>
      <c r="N83" s="1305"/>
      <c r="O83" s="1305"/>
      <c r="P83" s="1378"/>
    </row>
    <row r="84" spans="1:25" s="1292" customFormat="1" ht="13.5" customHeight="1" x14ac:dyDescent="0.2">
      <c r="A84" s="1715" t="s">
        <v>1110</v>
      </c>
      <c r="B84" s="2082"/>
      <c r="C84" s="1717"/>
      <c r="D84" s="1722"/>
      <c r="E84" s="1291"/>
      <c r="F84" s="1304"/>
      <c r="G84" s="1297"/>
      <c r="I84" s="1305"/>
      <c r="J84" s="1305"/>
      <c r="K84" s="1305"/>
      <c r="L84" s="1305"/>
      <c r="M84" s="1305"/>
      <c r="N84" s="1305"/>
      <c r="O84" s="1305"/>
      <c r="P84" s="1378"/>
    </row>
    <row r="85" spans="1:25" s="1292" customFormat="1" ht="12.75" customHeight="1" x14ac:dyDescent="0.2">
      <c r="A85" s="982"/>
      <c r="B85" s="982"/>
      <c r="C85" s="1684"/>
      <c r="D85" s="1684"/>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5"/>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4"/>
      <c r="B89" s="1684"/>
      <c r="C89" s="1684"/>
      <c r="D89" s="1684"/>
      <c r="E89" s="1312"/>
      <c r="F89" s="1304"/>
      <c r="G89" s="1297"/>
      <c r="I89" s="1305"/>
      <c r="J89" s="1305"/>
      <c r="K89" s="1305"/>
      <c r="L89" s="1305"/>
      <c r="M89" s="1305"/>
      <c r="N89" s="1305"/>
      <c r="O89" s="1305"/>
      <c r="P89" s="1378"/>
      <c r="Q89" s="1292"/>
    </row>
    <row r="90" spans="1:25" s="1305" customFormat="1" ht="12.75" customHeight="1" x14ac:dyDescent="0.2">
      <c r="A90" s="1684"/>
      <c r="B90" s="1684"/>
      <c r="C90" s="1684"/>
      <c r="D90" s="1684"/>
      <c r="E90" s="1313"/>
      <c r="F90" s="1304"/>
      <c r="G90" s="1297"/>
      <c r="P90" s="1378"/>
      <c r="Q90" s="1292"/>
    </row>
    <row r="91" spans="1:25" s="1305" customFormat="1" ht="12.75" customHeight="1" x14ac:dyDescent="0.2">
      <c r="A91" s="1684"/>
      <c r="B91" s="1684"/>
      <c r="C91" s="1684"/>
      <c r="D91" s="1684"/>
      <c r="E91" s="1313"/>
      <c r="F91" s="1304"/>
      <c r="G91" s="1297"/>
      <c r="P91" s="1378"/>
      <c r="Q91" s="1292"/>
    </row>
    <row r="92" spans="1:25" s="1292" customFormat="1" ht="12.75" customHeight="1" x14ac:dyDescent="0.2">
      <c r="A92" s="1727"/>
      <c r="B92" s="1684"/>
      <c r="C92" s="1684"/>
      <c r="D92" s="1684"/>
      <c r="E92" s="1291"/>
      <c r="I92" s="1305"/>
      <c r="J92" s="1305"/>
      <c r="K92" s="1305"/>
      <c r="L92" s="1305"/>
      <c r="M92" s="1305"/>
      <c r="N92" s="1305"/>
      <c r="O92" s="1305"/>
      <c r="P92" s="1378"/>
    </row>
    <row r="93" spans="1:25" s="1292" customFormat="1" ht="12.75" customHeight="1" x14ac:dyDescent="0.2">
      <c r="A93" s="1728"/>
      <c r="B93" s="1684"/>
      <c r="C93" s="1684"/>
      <c r="D93" s="1684"/>
      <c r="E93" s="1291"/>
      <c r="I93" s="1305"/>
      <c r="J93" s="1305"/>
      <c r="K93" s="1305"/>
      <c r="L93" s="1305"/>
      <c r="M93" s="1305"/>
      <c r="N93" s="1305"/>
      <c r="O93" s="1305"/>
      <c r="P93" s="1378"/>
    </row>
    <row r="94" spans="1:25" s="1292" customFormat="1" ht="12.75" customHeight="1" x14ac:dyDescent="0.2">
      <c r="A94" s="1728"/>
      <c r="B94" s="1684"/>
      <c r="C94" s="1684"/>
      <c r="D94" s="1684"/>
      <c r="E94" s="1291"/>
      <c r="I94" s="1305"/>
      <c r="J94" s="1305"/>
      <c r="K94" s="1305"/>
      <c r="L94" s="1305"/>
      <c r="M94" s="1305"/>
      <c r="N94" s="1305"/>
      <c r="O94" s="1305"/>
      <c r="P94" s="1378"/>
    </row>
    <row r="95" spans="1:25" s="1292" customFormat="1" ht="12.75" customHeight="1" x14ac:dyDescent="0.2">
      <c r="A95" s="1728"/>
      <c r="B95" s="1684"/>
      <c r="C95" s="1684"/>
      <c r="D95" s="1684"/>
      <c r="E95" s="1291"/>
      <c r="I95" s="1305"/>
      <c r="J95" s="1305"/>
      <c r="K95" s="1305"/>
      <c r="L95" s="1305"/>
      <c r="M95" s="1305"/>
      <c r="N95" s="1305"/>
      <c r="O95" s="1305"/>
      <c r="P95" s="1378"/>
    </row>
    <row r="96" spans="1:25" ht="12.75" customHeight="1" x14ac:dyDescent="0.2">
      <c r="A96" s="1728"/>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9"/>
      <c r="B97" s="1730"/>
      <c r="C97" s="1730"/>
      <c r="D97" s="1730"/>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9"/>
      <c r="B98" s="1730"/>
      <c r="C98" s="1730"/>
      <c r="D98" s="1730"/>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9"/>
      <c r="B99" s="1730"/>
      <c r="C99" s="1730"/>
      <c r="D99" s="1730"/>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9"/>
      <c r="B100" s="1730"/>
      <c r="C100" s="1730"/>
      <c r="D100" s="1730"/>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9"/>
      <c r="B101" s="1730"/>
      <c r="C101" s="1730"/>
      <c r="D101" s="1730"/>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9"/>
      <c r="B102" s="1730"/>
      <c r="C102" s="1730"/>
      <c r="D102" s="1730"/>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9"/>
      <c r="B103" s="1730"/>
      <c r="C103" s="1730"/>
      <c r="D103" s="1730"/>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9"/>
      <c r="B104" s="1730"/>
      <c r="C104" s="1730"/>
      <c r="D104" s="1730"/>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9"/>
      <c r="B105" s="1730"/>
      <c r="C105" s="1730"/>
      <c r="D105" s="1730"/>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9"/>
      <c r="B106" s="1730"/>
      <c r="C106" s="1730"/>
      <c r="D106" s="1730"/>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9"/>
      <c r="B107" s="1730"/>
      <c r="C107" s="1730"/>
      <c r="D107" s="1730"/>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9"/>
      <c r="B108" s="1730"/>
      <c r="C108" s="1730"/>
      <c r="D108" s="1730"/>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9"/>
      <c r="B109" s="1730"/>
      <c r="C109" s="1730"/>
      <c r="D109" s="1730"/>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9"/>
      <c r="B110" s="1730"/>
      <c r="C110" s="1730"/>
      <c r="D110" s="1730"/>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9"/>
      <c r="B111" s="1730"/>
      <c r="C111" s="1730"/>
      <c r="D111" s="1730"/>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9"/>
      <c r="B112" s="1730"/>
      <c r="C112" s="1730"/>
      <c r="D112" s="1730"/>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9"/>
      <c r="B113" s="1730"/>
      <c r="C113" s="1730"/>
      <c r="D113" s="1730"/>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9"/>
      <c r="B114" s="1730"/>
      <c r="C114" s="1730"/>
      <c r="D114" s="1730"/>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9"/>
      <c r="B115" s="1730"/>
      <c r="C115" s="1730"/>
      <c r="D115" s="1730"/>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9"/>
      <c r="B116" s="1730"/>
      <c r="C116" s="1730"/>
      <c r="D116" s="1730"/>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9"/>
      <c r="B117" s="1730"/>
      <c r="C117" s="1730"/>
      <c r="D117" s="1730"/>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9"/>
      <c r="B118" s="1730"/>
      <c r="C118" s="1730"/>
      <c r="D118" s="1730"/>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30"/>
      <c r="B119" s="1730"/>
      <c r="C119" s="1730"/>
      <c r="D119" s="1730"/>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30"/>
      <c r="B120" s="1730"/>
      <c r="C120" s="1730"/>
      <c r="D120" s="1730"/>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30"/>
      <c r="B121" s="1730"/>
      <c r="C121" s="1730"/>
      <c r="D121" s="1730"/>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30"/>
      <c r="B122" s="1730"/>
      <c r="C122" s="1730"/>
      <c r="D122" s="1730"/>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30"/>
      <c r="B123" s="1730"/>
      <c r="C123" s="1730"/>
      <c r="D123" s="1730"/>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30"/>
      <c r="B124" s="1730"/>
      <c r="C124" s="1730"/>
      <c r="D124" s="1730"/>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30"/>
      <c r="B125" s="1730"/>
      <c r="C125" s="1730"/>
      <c r="D125" s="1730"/>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30"/>
      <c r="B126" s="1730"/>
      <c r="C126" s="1730"/>
      <c r="D126" s="1730"/>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30"/>
      <c r="B127" s="1730"/>
      <c r="C127" s="1730"/>
      <c r="D127" s="1730"/>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30"/>
      <c r="B128" s="1730"/>
      <c r="C128" s="1730"/>
      <c r="D128" s="1730"/>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30"/>
      <c r="B129" s="1730"/>
      <c r="C129" s="1730"/>
      <c r="D129" s="1730"/>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30"/>
      <c r="B130" s="1730"/>
      <c r="C130" s="1730"/>
      <c r="D130" s="1730"/>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30"/>
      <c r="B131" s="1730"/>
      <c r="C131" s="1730"/>
      <c r="D131" s="1730"/>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30"/>
      <c r="B132" s="1730"/>
      <c r="C132" s="1730"/>
      <c r="D132" s="1730"/>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30"/>
      <c r="B133" s="1730"/>
      <c r="C133" s="1730"/>
      <c r="D133" s="1730"/>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30"/>
      <c r="B134" s="1730"/>
      <c r="C134" s="1730"/>
      <c r="D134" s="1730"/>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30"/>
      <c r="B135" s="1730"/>
      <c r="C135" s="1730"/>
      <c r="D135" s="1730"/>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30"/>
      <c r="B136" s="1730"/>
      <c r="C136" s="1730"/>
      <c r="D136" s="1730"/>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30"/>
      <c r="B137" s="1730"/>
      <c r="C137" s="1730"/>
      <c r="D137" s="1730"/>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30"/>
      <c r="B138" s="1730"/>
      <c r="C138" s="1730"/>
      <c r="D138" s="1730"/>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30"/>
      <c r="B139" s="1730"/>
      <c r="C139" s="1730"/>
      <c r="D139" s="1730"/>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30"/>
      <c r="B140" s="1730"/>
      <c r="C140" s="1730"/>
      <c r="D140" s="1730"/>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30"/>
      <c r="B141" s="1730"/>
      <c r="C141" s="1730"/>
      <c r="D141" s="1730"/>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30"/>
      <c r="B142" s="1730"/>
      <c r="C142" s="1730"/>
      <c r="D142" s="1730"/>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30"/>
      <c r="B143" s="1730"/>
      <c r="C143" s="1730"/>
      <c r="D143" s="1730"/>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30"/>
      <c r="B144" s="1730"/>
      <c r="C144" s="1730"/>
      <c r="D144" s="1730"/>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30"/>
      <c r="B145" s="1730"/>
      <c r="C145" s="1730"/>
      <c r="D145" s="1730"/>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30"/>
      <c r="B146" s="1730"/>
      <c r="C146" s="1730"/>
      <c r="D146" s="1730"/>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30"/>
      <c r="B147" s="1730"/>
      <c r="C147" s="1730"/>
      <c r="D147" s="1730"/>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30"/>
      <c r="B148" s="1730"/>
      <c r="C148" s="1730"/>
      <c r="D148" s="1730"/>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30"/>
      <c r="B149" s="1730"/>
      <c r="C149" s="1730"/>
      <c r="D149" s="1730"/>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30"/>
      <c r="B150" s="1730"/>
      <c r="C150" s="1730"/>
      <c r="D150" s="1730"/>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30"/>
      <c r="B151" s="1730"/>
      <c r="C151" s="1730"/>
      <c r="D151" s="1730"/>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30"/>
      <c r="B152" s="1730"/>
      <c r="C152" s="1730"/>
      <c r="D152" s="1730"/>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30"/>
      <c r="B153" s="1730"/>
      <c r="C153" s="1730"/>
      <c r="D153" s="1730"/>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30"/>
      <c r="B154" s="1730"/>
      <c r="C154" s="1730"/>
      <c r="D154" s="1730"/>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30"/>
      <c r="B155" s="1730"/>
      <c r="C155" s="1730"/>
      <c r="D155" s="1730"/>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30"/>
      <c r="B156" s="1730"/>
      <c r="C156" s="1730"/>
      <c r="D156" s="1730"/>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30"/>
      <c r="B157" s="1730"/>
      <c r="C157" s="1730"/>
      <c r="D157" s="1730"/>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30"/>
      <c r="B158" s="1730"/>
      <c r="C158" s="1730"/>
      <c r="D158" s="1730"/>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30"/>
      <c r="B159" s="1730"/>
      <c r="C159" s="1730"/>
      <c r="D159" s="1730"/>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30"/>
      <c r="B160" s="1730"/>
      <c r="C160" s="1730"/>
      <c r="D160" s="1730"/>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30"/>
      <c r="B161" s="1730"/>
      <c r="C161" s="1730"/>
      <c r="D161" s="1730"/>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30"/>
      <c r="B162" s="1730"/>
      <c r="C162" s="1730"/>
      <c r="D162" s="1730"/>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30"/>
      <c r="B163" s="1730"/>
      <c r="C163" s="1730"/>
      <c r="D163" s="1730"/>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30"/>
      <c r="B164" s="1730"/>
      <c r="C164" s="1730"/>
      <c r="D164" s="1730"/>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30"/>
      <c r="B165" s="1730"/>
      <c r="C165" s="1730"/>
      <c r="D165" s="1730"/>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30"/>
      <c r="B166" s="1730"/>
      <c r="C166" s="1730"/>
      <c r="D166" s="1730"/>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30"/>
      <c r="B167" s="1730"/>
      <c r="C167" s="1730"/>
      <c r="D167" s="1730"/>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30"/>
      <c r="B168" s="1730"/>
      <c r="C168" s="1730"/>
      <c r="D168" s="1730"/>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30"/>
      <c r="B169" s="1730"/>
      <c r="C169" s="1730"/>
      <c r="D169" s="1730"/>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30"/>
      <c r="B170" s="1730"/>
      <c r="C170" s="1730"/>
      <c r="D170" s="1730"/>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30"/>
      <c r="B171" s="1730"/>
      <c r="C171" s="1730"/>
      <c r="D171" s="1730"/>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30"/>
      <c r="B172" s="1730"/>
      <c r="C172" s="1730"/>
      <c r="D172" s="1730"/>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30"/>
      <c r="B173" s="1730"/>
      <c r="C173" s="1730"/>
      <c r="D173" s="1730"/>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30"/>
      <c r="B174" s="1730"/>
      <c r="C174" s="1730"/>
      <c r="D174" s="1730"/>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30"/>
      <c r="B175" s="1730"/>
      <c r="C175" s="1730"/>
      <c r="D175" s="1730"/>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30"/>
      <c r="B176" s="1730"/>
      <c r="C176" s="1730"/>
      <c r="D176" s="1730"/>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30"/>
      <c r="B177" s="1730"/>
      <c r="C177" s="1730"/>
      <c r="D177" s="1730"/>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30"/>
      <c r="B178" s="1730"/>
      <c r="C178" s="1730"/>
      <c r="D178" s="1730"/>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30"/>
      <c r="B179" s="1730"/>
      <c r="C179" s="1730"/>
      <c r="D179" s="1730"/>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30"/>
      <c r="B180" s="1730"/>
      <c r="C180" s="1730"/>
      <c r="D180" s="1730"/>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30"/>
      <c r="B181" s="1730"/>
      <c r="C181" s="1730"/>
      <c r="D181" s="1730"/>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30"/>
      <c r="B182" s="1730"/>
      <c r="C182" s="1730"/>
      <c r="D182" s="1730"/>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30"/>
      <c r="B183" s="1730"/>
      <c r="C183" s="1730"/>
      <c r="D183" s="1730"/>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30"/>
      <c r="B184" s="1730"/>
      <c r="C184" s="1730"/>
      <c r="D184" s="1730"/>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30"/>
      <c r="B185" s="1730"/>
      <c r="C185" s="1730"/>
      <c r="D185" s="1730"/>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30"/>
      <c r="B186" s="1730"/>
      <c r="C186" s="1730"/>
      <c r="D186" s="1730"/>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30"/>
      <c r="B187" s="1730"/>
      <c r="C187" s="1730"/>
      <c r="D187" s="1730"/>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30"/>
      <c r="B188" s="1730"/>
      <c r="C188" s="1730"/>
      <c r="D188" s="1730"/>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30"/>
      <c r="B189" s="1730"/>
      <c r="C189" s="1730"/>
      <c r="D189" s="1730"/>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30"/>
      <c r="B190" s="1730"/>
      <c r="C190" s="1730"/>
      <c r="D190" s="1730"/>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30"/>
      <c r="B191" s="1730"/>
      <c r="C191" s="1730"/>
      <c r="D191" s="1730"/>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30"/>
      <c r="B192" s="1730"/>
      <c r="C192" s="1730"/>
      <c r="D192" s="1730"/>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30"/>
      <c r="B193" s="1730"/>
      <c r="C193" s="1730"/>
      <c r="D193" s="1730"/>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30"/>
      <c r="B194" s="1730"/>
      <c r="C194" s="1730"/>
      <c r="D194" s="1730"/>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30"/>
      <c r="B195" s="1730"/>
      <c r="C195" s="1730"/>
      <c r="D195" s="1730"/>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30"/>
      <c r="B196" s="1730"/>
      <c r="C196" s="1730"/>
      <c r="D196" s="1730"/>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30"/>
      <c r="B197" s="1730"/>
      <c r="C197" s="1730"/>
      <c r="D197" s="1730"/>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30"/>
      <c r="B198" s="1730"/>
      <c r="C198" s="1730"/>
      <c r="D198" s="1730"/>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30"/>
      <c r="B199" s="1730"/>
      <c r="C199" s="1730"/>
      <c r="D199" s="1730"/>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30"/>
      <c r="B200" s="1730"/>
      <c r="C200" s="1730"/>
      <c r="D200" s="1730"/>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30"/>
      <c r="B201" s="1730"/>
      <c r="C201" s="1730"/>
      <c r="D201" s="1730"/>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30"/>
      <c r="B202" s="1730"/>
      <c r="C202" s="1730"/>
      <c r="D202" s="1730"/>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30"/>
      <c r="B203" s="1730"/>
      <c r="C203" s="1730"/>
      <c r="D203" s="1730"/>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30"/>
      <c r="B204" s="1730"/>
      <c r="C204" s="1730"/>
      <c r="D204" s="1730"/>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30"/>
      <c r="B205" s="1730"/>
      <c r="C205" s="1730"/>
      <c r="D205" s="1730"/>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30"/>
      <c r="B206" s="1730"/>
      <c r="C206" s="1730"/>
      <c r="D206" s="1730"/>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30"/>
      <c r="B207" s="1730"/>
      <c r="C207" s="1730"/>
      <c r="D207" s="1730"/>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30"/>
      <c r="B208" s="1730"/>
      <c r="C208" s="1730"/>
      <c r="D208" s="1730"/>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30"/>
      <c r="B209" s="1730"/>
      <c r="C209" s="1730"/>
      <c r="D209" s="1730"/>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30"/>
      <c r="B210" s="1730"/>
      <c r="C210" s="1730"/>
      <c r="D210" s="1730"/>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30"/>
      <c r="B211" s="1730"/>
      <c r="C211" s="1730"/>
      <c r="D211" s="1730"/>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30"/>
      <c r="B212" s="1730"/>
      <c r="C212" s="1730"/>
      <c r="D212" s="1730"/>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30"/>
      <c r="B213" s="1730"/>
      <c r="C213" s="1730"/>
      <c r="D213" s="1730"/>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30"/>
      <c r="B214" s="1730"/>
      <c r="C214" s="1730"/>
      <c r="D214" s="1730"/>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30"/>
      <c r="B215" s="1730"/>
      <c r="C215" s="1730"/>
      <c r="D215" s="1730"/>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30"/>
      <c r="B216" s="1730"/>
      <c r="C216" s="1730"/>
      <c r="D216" s="1730"/>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30"/>
      <c r="B217" s="1730"/>
      <c r="C217" s="1730"/>
      <c r="D217" s="1730"/>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30"/>
      <c r="B218" s="1730"/>
      <c r="C218" s="1730"/>
      <c r="D218" s="1730"/>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30"/>
      <c r="B219" s="1730"/>
      <c r="C219" s="1730"/>
      <c r="D219" s="1730"/>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30"/>
      <c r="B220" s="1730"/>
      <c r="C220" s="1730"/>
      <c r="D220" s="1730"/>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30"/>
      <c r="B221" s="1730"/>
      <c r="C221" s="1730"/>
      <c r="D221" s="1730"/>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30"/>
      <c r="B222" s="1730"/>
      <c r="C222" s="1730"/>
      <c r="D222" s="1730"/>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30"/>
      <c r="B223" s="1730"/>
      <c r="C223" s="1730"/>
      <c r="D223" s="1730"/>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30"/>
      <c r="B224" s="1730"/>
      <c r="C224" s="1730"/>
      <c r="D224" s="1730"/>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30"/>
      <c r="B225" s="1730"/>
      <c r="C225" s="1730"/>
      <c r="D225" s="1730"/>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30"/>
      <c r="B226" s="1730"/>
      <c r="C226" s="1730"/>
      <c r="D226" s="1730"/>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30"/>
      <c r="B227" s="1730"/>
      <c r="C227" s="1730"/>
      <c r="D227" s="1730"/>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30"/>
      <c r="B228" s="1730"/>
      <c r="C228" s="1730"/>
      <c r="D228" s="1730"/>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30"/>
      <c r="B229" s="1730"/>
      <c r="C229" s="1730"/>
      <c r="D229" s="1730"/>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30"/>
      <c r="B230" s="1730"/>
      <c r="C230" s="1730"/>
      <c r="D230" s="1730"/>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30"/>
      <c r="B231" s="1730"/>
      <c r="C231" s="1730"/>
      <c r="D231" s="1730"/>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30"/>
      <c r="B232" s="1730"/>
      <c r="C232" s="1730"/>
      <c r="D232" s="1730"/>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30"/>
      <c r="B233" s="1730"/>
      <c r="C233" s="1730"/>
      <c r="D233" s="1730"/>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30"/>
      <c r="B234" s="1730"/>
      <c r="C234" s="1730"/>
      <c r="D234" s="1730"/>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30"/>
      <c r="B235" s="1730"/>
      <c r="C235" s="1730"/>
      <c r="D235" s="1730"/>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30"/>
      <c r="B236" s="1730"/>
      <c r="C236" s="1730"/>
      <c r="D236" s="1730"/>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30"/>
      <c r="B237" s="1730"/>
      <c r="C237" s="1730"/>
      <c r="D237" s="1730"/>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30"/>
      <c r="B238" s="1730"/>
      <c r="C238" s="1730"/>
      <c r="D238" s="1730"/>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30"/>
      <c r="B239" s="1730"/>
      <c r="C239" s="1730"/>
      <c r="D239" s="1730"/>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30"/>
      <c r="B240" s="1730"/>
      <c r="C240" s="1730"/>
      <c r="D240" s="1730"/>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30"/>
      <c r="B241" s="1730"/>
      <c r="C241" s="1730"/>
      <c r="D241" s="1730"/>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30"/>
      <c r="B242" s="1730"/>
      <c r="C242" s="1730"/>
      <c r="D242" s="1730"/>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30"/>
      <c r="B243" s="1730"/>
      <c r="C243" s="1730"/>
      <c r="D243" s="1730"/>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30"/>
      <c r="B244" s="1730"/>
      <c r="C244" s="1730"/>
      <c r="D244" s="1730"/>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30"/>
      <c r="B245" s="1730"/>
      <c r="C245" s="1730"/>
      <c r="D245" s="1730"/>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30"/>
      <c r="B246" s="1730"/>
      <c r="C246" s="1730"/>
      <c r="D246" s="1730"/>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30"/>
      <c r="B247" s="1730"/>
      <c r="C247" s="1730"/>
      <c r="D247" s="1730"/>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30"/>
      <c r="B248" s="1730"/>
      <c r="C248" s="1730"/>
      <c r="D248" s="1730"/>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30"/>
      <c r="B249" s="1730"/>
      <c r="C249" s="1730"/>
      <c r="D249" s="1730"/>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30"/>
      <c r="B250" s="1730"/>
      <c r="C250" s="1730"/>
      <c r="D250" s="1730"/>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30"/>
      <c r="B251" s="1730"/>
      <c r="C251" s="1730"/>
      <c r="D251" s="1730"/>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30"/>
      <c r="B252" s="1730"/>
      <c r="C252" s="1730"/>
      <c r="D252" s="1730"/>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30"/>
      <c r="B253" s="1730"/>
      <c r="C253" s="1730"/>
      <c r="D253" s="1730"/>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30"/>
      <c r="B254" s="1730"/>
      <c r="C254" s="1730"/>
      <c r="D254" s="1730"/>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30"/>
      <c r="B255" s="1730"/>
      <c r="C255" s="1730"/>
      <c r="D255" s="1730"/>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30"/>
      <c r="B256" s="1730"/>
      <c r="C256" s="1730"/>
      <c r="D256" s="1730"/>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30"/>
      <c r="B257" s="1730"/>
      <c r="C257" s="1730"/>
      <c r="D257" s="1730"/>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30"/>
      <c r="B258" s="1730"/>
      <c r="C258" s="1730"/>
      <c r="D258" s="1730"/>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30"/>
      <c r="B259" s="1730"/>
      <c r="C259" s="1730"/>
      <c r="D259" s="1730"/>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30"/>
      <c r="B260" s="1730"/>
      <c r="C260" s="1730"/>
      <c r="D260" s="1730"/>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30"/>
      <c r="B261" s="1730"/>
      <c r="C261" s="1730"/>
      <c r="D261" s="1730"/>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30"/>
      <c r="B262" s="1730"/>
      <c r="C262" s="1730"/>
      <c r="D262" s="1730"/>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30"/>
      <c r="B263" s="1730"/>
      <c r="C263" s="1730"/>
      <c r="D263" s="1730"/>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30"/>
      <c r="B264" s="1730"/>
      <c r="C264" s="1730"/>
      <c r="D264" s="1730"/>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30"/>
      <c r="B265" s="1730"/>
      <c r="C265" s="1730"/>
      <c r="D265" s="1730"/>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30"/>
      <c r="B266" s="1730"/>
      <c r="C266" s="1730"/>
      <c r="D266" s="1730"/>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30"/>
      <c r="B267" s="1730"/>
      <c r="C267" s="1730"/>
      <c r="D267" s="1730"/>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30"/>
      <c r="B268" s="1730"/>
      <c r="C268" s="1730"/>
      <c r="D268" s="1730"/>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30"/>
      <c r="B269" s="1730"/>
      <c r="C269" s="1730"/>
      <c r="D269" s="1730"/>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30"/>
      <c r="B270" s="1730"/>
      <c r="C270" s="1730"/>
      <c r="D270" s="1730"/>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30"/>
      <c r="B271" s="1730"/>
      <c r="C271" s="1730"/>
      <c r="D271" s="1730"/>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30"/>
      <c r="B272" s="1730"/>
      <c r="C272" s="1730"/>
      <c r="D272" s="1730"/>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30"/>
      <c r="B273" s="1730"/>
      <c r="C273" s="1730"/>
      <c r="D273" s="1730"/>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30"/>
      <c r="B274" s="1730"/>
      <c r="C274" s="1730"/>
      <c r="D274" s="1730"/>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30"/>
      <c r="B275" s="1730"/>
      <c r="C275" s="1730"/>
      <c r="D275" s="1730"/>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30"/>
      <c r="B276" s="1730"/>
      <c r="C276" s="1730"/>
      <c r="D276" s="1730"/>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30"/>
      <c r="B277" s="1730"/>
      <c r="C277" s="1730"/>
      <c r="D277" s="1730"/>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30"/>
      <c r="B278" s="1730"/>
      <c r="C278" s="1730"/>
      <c r="D278" s="1730"/>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30"/>
      <c r="B279" s="1730"/>
      <c r="C279" s="1730"/>
      <c r="D279" s="1730"/>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30"/>
      <c r="B280" s="1730"/>
      <c r="C280" s="1730"/>
      <c r="D280" s="1730"/>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30"/>
      <c r="B281" s="1730"/>
      <c r="C281" s="1730"/>
      <c r="D281" s="1730"/>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30"/>
      <c r="B282" s="1730"/>
      <c r="C282" s="1730"/>
      <c r="D282" s="1730"/>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30"/>
      <c r="B283" s="1730"/>
      <c r="C283" s="1730"/>
      <c r="D283" s="1730"/>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30"/>
      <c r="B284" s="1730"/>
      <c r="C284" s="1730"/>
      <c r="D284" s="1730"/>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30"/>
      <c r="B285" s="1730"/>
      <c r="C285" s="1730"/>
      <c r="D285" s="1730"/>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30"/>
      <c r="B286" s="1730"/>
      <c r="C286" s="1730"/>
      <c r="D286" s="1730"/>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30"/>
      <c r="B287" s="1730"/>
      <c r="C287" s="1730"/>
      <c r="D287" s="1730"/>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30"/>
      <c r="B288" s="1730"/>
      <c r="C288" s="1730"/>
      <c r="D288" s="1730"/>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30"/>
      <c r="B289" s="1730"/>
      <c r="C289" s="1730"/>
      <c r="D289" s="1730"/>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30"/>
      <c r="B290" s="1730"/>
      <c r="C290" s="1730"/>
      <c r="D290" s="1730"/>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30"/>
      <c r="B291" s="1730"/>
      <c r="C291" s="1730"/>
      <c r="D291" s="1730"/>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30"/>
      <c r="B292" s="1730"/>
      <c r="C292" s="1730"/>
      <c r="D292" s="1730"/>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30"/>
      <c r="B293" s="1730"/>
      <c r="C293" s="1730"/>
      <c r="D293" s="1730"/>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30"/>
      <c r="B294" s="1730"/>
      <c r="C294" s="1730"/>
      <c r="D294" s="1730"/>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30"/>
      <c r="B295" s="1730"/>
      <c r="C295" s="1730"/>
      <c r="D295" s="1730"/>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30"/>
      <c r="B296" s="1730"/>
      <c r="C296" s="1730"/>
      <c r="D296" s="1730"/>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30"/>
      <c r="B297" s="1730"/>
      <c r="C297" s="1730"/>
      <c r="D297" s="1730"/>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30"/>
      <c r="B298" s="1730"/>
      <c r="C298" s="1730"/>
      <c r="D298" s="1730"/>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30"/>
      <c r="B299" s="1730"/>
      <c r="C299" s="1730"/>
      <c r="D299" s="1730"/>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30"/>
      <c r="B300" s="1730"/>
      <c r="C300" s="1730"/>
      <c r="D300" s="1730"/>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30"/>
      <c r="B301" s="1730"/>
      <c r="C301" s="1730"/>
      <c r="D301" s="1730"/>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30"/>
      <c r="B302" s="1730"/>
      <c r="C302" s="1730"/>
      <c r="D302" s="1730"/>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30"/>
      <c r="B303" s="1730"/>
      <c r="C303" s="1730"/>
      <c r="D303" s="1730"/>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30"/>
      <c r="B304" s="1730"/>
      <c r="C304" s="1730"/>
      <c r="D304" s="1730"/>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30"/>
      <c r="B305" s="1730"/>
      <c r="C305" s="1730"/>
      <c r="D305" s="1730"/>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30"/>
      <c r="B306" s="1730"/>
      <c r="C306" s="1730"/>
      <c r="D306" s="1730"/>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30"/>
      <c r="B307" s="1730"/>
      <c r="C307" s="1730"/>
      <c r="D307" s="1730"/>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30"/>
      <c r="B308" s="1730"/>
      <c r="C308" s="1730"/>
      <c r="D308" s="1730"/>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30"/>
      <c r="B309" s="1730"/>
      <c r="C309" s="1730"/>
      <c r="D309" s="1730"/>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30"/>
      <c r="B310" s="1730"/>
      <c r="C310" s="1730"/>
      <c r="D310" s="1730"/>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30"/>
      <c r="B311" s="1730"/>
      <c r="C311" s="1730"/>
      <c r="D311" s="1730"/>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30"/>
      <c r="B312" s="1730"/>
      <c r="C312" s="1730"/>
      <c r="D312" s="1730"/>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30"/>
      <c r="B313" s="1730"/>
      <c r="C313" s="1730"/>
      <c r="D313" s="1730"/>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30"/>
      <c r="B314" s="1730"/>
      <c r="C314" s="1730"/>
      <c r="D314" s="1730"/>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30"/>
      <c r="B315" s="1730"/>
      <c r="C315" s="1730"/>
      <c r="D315" s="1730"/>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30"/>
      <c r="B316" s="1730"/>
      <c r="C316" s="1730"/>
      <c r="D316" s="1730"/>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30"/>
      <c r="B317" s="1730"/>
      <c r="C317" s="1730"/>
      <c r="D317" s="1730"/>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30"/>
      <c r="B318" s="1730"/>
      <c r="C318" s="1730"/>
      <c r="D318" s="1730"/>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30"/>
      <c r="B319" s="1730"/>
      <c r="C319" s="1730"/>
      <c r="D319" s="1730"/>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30"/>
      <c r="B320" s="1730"/>
      <c r="C320" s="1730"/>
      <c r="D320" s="1730"/>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30"/>
      <c r="B321" s="1730"/>
      <c r="C321" s="1730"/>
      <c r="D321" s="1730"/>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30"/>
      <c r="B322" s="1730"/>
      <c r="C322" s="1730"/>
      <c r="D322" s="1730"/>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30"/>
      <c r="B323" s="1730"/>
      <c r="C323" s="1730"/>
      <c r="D323" s="1730"/>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30"/>
      <c r="B324" s="1730"/>
      <c r="C324" s="1730"/>
      <c r="D324" s="1730"/>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30"/>
      <c r="B325" s="1730"/>
      <c r="C325" s="1730"/>
      <c r="D325" s="1730"/>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30"/>
      <c r="B326" s="1730"/>
      <c r="C326" s="1730"/>
      <c r="D326" s="1730"/>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30"/>
      <c r="B327" s="1730"/>
      <c r="C327" s="1730"/>
      <c r="D327" s="1730"/>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30"/>
      <c r="B328" s="1730"/>
      <c r="C328" s="1730"/>
      <c r="D328" s="1730"/>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30"/>
      <c r="B329" s="1730"/>
      <c r="C329" s="1730"/>
      <c r="D329" s="1730"/>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30"/>
      <c r="B330" s="1730"/>
      <c r="C330" s="1730"/>
      <c r="D330" s="1730"/>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30"/>
      <c r="B331" s="1730"/>
      <c r="C331" s="1730"/>
      <c r="D331" s="1730"/>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30"/>
      <c r="B332" s="1730"/>
      <c r="C332" s="1730"/>
      <c r="D332" s="1730"/>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30"/>
      <c r="B333" s="1730"/>
      <c r="C333" s="1730"/>
      <c r="D333" s="1730"/>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30"/>
      <c r="B334" s="1730"/>
      <c r="C334" s="1730"/>
      <c r="D334" s="1730"/>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30"/>
      <c r="B335" s="1730"/>
      <c r="C335" s="1730"/>
      <c r="D335" s="1730"/>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30"/>
      <c r="B336" s="1730"/>
      <c r="C336" s="1730"/>
      <c r="D336" s="1730"/>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30"/>
      <c r="B337" s="1730"/>
      <c r="C337" s="1730"/>
      <c r="D337" s="1730"/>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30"/>
      <c r="B338" s="1730"/>
      <c r="C338" s="1730"/>
      <c r="D338" s="1730"/>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30"/>
      <c r="B339" s="1730"/>
      <c r="C339" s="1730"/>
      <c r="D339" s="1730"/>
      <c r="E339" s="1314"/>
      <c r="R339" s="1315"/>
      <c r="S339" s="1315"/>
      <c r="T339" s="1315"/>
      <c r="U339" s="1315"/>
      <c r="V339" s="1315"/>
      <c r="W339" s="1315"/>
      <c r="X339" s="1315"/>
      <c r="Y339" s="1315"/>
    </row>
    <row r="340" spans="1:25" x14ac:dyDescent="0.2">
      <c r="A340" s="1730"/>
      <c r="B340" s="1730"/>
      <c r="C340" s="1730"/>
      <c r="D340" s="1730"/>
      <c r="E340" s="1314"/>
      <c r="R340" s="1315"/>
      <c r="S340" s="1315"/>
      <c r="T340" s="1315"/>
      <c r="U340" s="1315"/>
      <c r="V340" s="1315"/>
      <c r="W340" s="1315"/>
      <c r="X340" s="1315"/>
      <c r="Y340" s="1315"/>
    </row>
    <row r="341" spans="1:25" x14ac:dyDescent="0.2">
      <c r="A341" s="1730"/>
      <c r="B341" s="1730"/>
      <c r="C341" s="1730"/>
      <c r="D341" s="1730"/>
      <c r="E341" s="1314"/>
      <c r="R341" s="1315"/>
      <c r="S341" s="1315"/>
      <c r="T341" s="1315"/>
      <c r="U341" s="1315"/>
      <c r="V341" s="1315"/>
      <c r="W341" s="1315"/>
      <c r="X341" s="1315"/>
      <c r="Y341" s="1315"/>
    </row>
    <row r="342" spans="1:25" x14ac:dyDescent="0.2">
      <c r="A342" s="1730"/>
      <c r="B342" s="1730"/>
      <c r="C342" s="1730"/>
      <c r="D342" s="1730"/>
      <c r="E342" s="1314"/>
      <c r="R342" s="1315"/>
      <c r="S342" s="1315"/>
      <c r="T342" s="1315"/>
      <c r="U342" s="1315"/>
      <c r="V342" s="1315"/>
      <c r="W342" s="1315"/>
      <c r="X342" s="1315"/>
      <c r="Y342" s="1315"/>
    </row>
    <row r="343" spans="1:25" x14ac:dyDescent="0.2">
      <c r="A343" s="1730"/>
      <c r="B343" s="1730"/>
      <c r="C343" s="1730"/>
      <c r="D343" s="1730"/>
      <c r="E343" s="1314"/>
      <c r="R343" s="1315"/>
      <c r="S343" s="1315"/>
      <c r="T343" s="1315"/>
      <c r="U343" s="1315"/>
      <c r="V343" s="1315"/>
      <c r="W343" s="1315"/>
      <c r="X343" s="1315"/>
      <c r="Y343" s="1315"/>
    </row>
    <row r="344" spans="1:25" x14ac:dyDescent="0.2">
      <c r="A344" s="1730"/>
      <c r="B344" s="1730"/>
      <c r="C344" s="1730"/>
      <c r="D344" s="1730"/>
      <c r="E344" s="1314"/>
      <c r="R344" s="1315"/>
      <c r="S344" s="1315"/>
      <c r="T344" s="1315"/>
      <c r="U344" s="1315"/>
      <c r="V344" s="1315"/>
      <c r="W344" s="1315"/>
      <c r="X344" s="1315"/>
      <c r="Y344" s="1315"/>
    </row>
    <row r="345" spans="1:25" x14ac:dyDescent="0.2">
      <c r="A345" s="1730"/>
      <c r="B345" s="1730"/>
      <c r="C345" s="1730"/>
      <c r="D345" s="1730"/>
      <c r="E345" s="1314"/>
      <c r="R345" s="1315"/>
      <c r="S345" s="1315"/>
      <c r="T345" s="1315"/>
      <c r="U345" s="1315"/>
      <c r="V345" s="1315"/>
      <c r="W345" s="1315"/>
      <c r="X345" s="1315"/>
      <c r="Y345" s="1315"/>
    </row>
    <row r="346" spans="1:25" x14ac:dyDescent="0.2">
      <c r="A346" s="1730"/>
      <c r="B346" s="1730"/>
      <c r="C346" s="1730"/>
      <c r="D346" s="1730"/>
      <c r="E346" s="1314"/>
      <c r="R346" s="1315"/>
      <c r="S346" s="1315"/>
      <c r="T346" s="1315"/>
      <c r="U346" s="1315"/>
      <c r="V346" s="1315"/>
      <c r="W346" s="1315"/>
      <c r="X346" s="1315"/>
      <c r="Y346" s="1315"/>
    </row>
    <row r="347" spans="1:25" x14ac:dyDescent="0.2">
      <c r="A347" s="1730"/>
      <c r="B347" s="1730"/>
      <c r="C347" s="1730"/>
      <c r="D347" s="1730"/>
      <c r="E347" s="1314"/>
      <c r="R347" s="1315"/>
      <c r="S347" s="1315"/>
      <c r="T347" s="1315"/>
      <c r="U347" s="1315"/>
      <c r="V347" s="1315"/>
      <c r="W347" s="1315"/>
      <c r="X347" s="1315"/>
      <c r="Y347" s="1315"/>
    </row>
    <row r="348" spans="1:25" x14ac:dyDescent="0.2">
      <c r="A348" s="1730"/>
      <c r="B348" s="1730"/>
      <c r="C348" s="1730"/>
      <c r="D348" s="1730"/>
      <c r="E348" s="1314"/>
      <c r="R348" s="1315"/>
      <c r="S348" s="1315"/>
      <c r="T348" s="1315"/>
      <c r="U348" s="1315"/>
      <c r="V348" s="1315"/>
      <c r="W348" s="1315"/>
      <c r="X348" s="1315"/>
      <c r="Y348" s="1315"/>
    </row>
    <row r="349" spans="1:25" x14ac:dyDescent="0.2">
      <c r="A349" s="1730"/>
      <c r="B349" s="1730"/>
      <c r="C349" s="1730"/>
      <c r="D349" s="1730"/>
      <c r="E349" s="1314"/>
      <c r="R349" s="1315"/>
      <c r="S349" s="1315"/>
      <c r="T349" s="1315"/>
      <c r="U349" s="1315"/>
      <c r="V349" s="1315"/>
      <c r="W349" s="1315"/>
      <c r="X349" s="1315"/>
      <c r="Y349" s="1315"/>
    </row>
    <row r="350" spans="1:25" x14ac:dyDescent="0.2">
      <c r="A350" s="1730"/>
      <c r="B350" s="1730"/>
      <c r="C350" s="1730"/>
      <c r="D350" s="1730"/>
      <c r="E350" s="1314"/>
      <c r="R350" s="1315"/>
      <c r="S350" s="1315"/>
      <c r="T350" s="1315"/>
      <c r="U350" s="1315"/>
      <c r="V350" s="1315"/>
      <c r="W350" s="1315"/>
      <c r="X350" s="1315"/>
      <c r="Y350" s="1315"/>
    </row>
    <row r="351" spans="1:25" x14ac:dyDescent="0.2">
      <c r="A351" s="1730"/>
      <c r="B351" s="1730"/>
      <c r="C351" s="1730"/>
      <c r="D351" s="1730"/>
      <c r="E351" s="1314"/>
      <c r="R351" s="1315"/>
      <c r="S351" s="1315"/>
      <c r="T351" s="1315"/>
      <c r="U351" s="1315"/>
      <c r="V351" s="1315"/>
      <c r="W351" s="1315"/>
      <c r="X351" s="1315"/>
      <c r="Y351" s="1315"/>
    </row>
    <row r="352" spans="1:25" x14ac:dyDescent="0.2">
      <c r="A352" s="1730"/>
      <c r="B352" s="1730"/>
      <c r="C352" s="1730"/>
      <c r="D352" s="1730"/>
      <c r="E352" s="1314"/>
      <c r="R352" s="1315"/>
      <c r="S352" s="1315"/>
      <c r="T352" s="1315"/>
      <c r="U352" s="1315"/>
      <c r="V352" s="1315"/>
      <c r="W352" s="1315"/>
      <c r="X352" s="1315"/>
      <c r="Y352" s="1315"/>
    </row>
    <row r="353" spans="1:25" x14ac:dyDescent="0.2">
      <c r="A353" s="1730"/>
      <c r="B353" s="1730"/>
      <c r="C353" s="1730"/>
      <c r="D353" s="1730"/>
      <c r="E353" s="1314"/>
      <c r="R353" s="1315"/>
      <c r="S353" s="1315"/>
      <c r="T353" s="1315"/>
      <c r="U353" s="1315"/>
      <c r="V353" s="1315"/>
      <c r="W353" s="1315"/>
      <c r="X353" s="1315"/>
      <c r="Y353" s="1315"/>
    </row>
    <row r="354" spans="1:25" x14ac:dyDescent="0.2">
      <c r="A354" s="1730"/>
      <c r="B354" s="1730"/>
      <c r="C354" s="1730"/>
      <c r="D354" s="1730"/>
      <c r="E354" s="1314"/>
      <c r="R354" s="1315"/>
      <c r="S354" s="1315"/>
      <c r="T354" s="1315"/>
      <c r="U354" s="1315"/>
      <c r="V354" s="1315"/>
      <c r="W354" s="1315"/>
      <c r="X354" s="1315"/>
      <c r="Y354" s="1315"/>
    </row>
    <row r="355" spans="1:25" x14ac:dyDescent="0.2">
      <c r="A355" s="1730"/>
      <c r="B355" s="1730"/>
      <c r="C355" s="1730"/>
      <c r="D355" s="1730"/>
      <c r="E355" s="1314"/>
      <c r="R355" s="1315"/>
      <c r="S355" s="1315"/>
      <c r="T355" s="1315"/>
      <c r="U355" s="1315"/>
      <c r="V355" s="1315"/>
      <c r="W355" s="1315"/>
      <c r="X355" s="1315"/>
      <c r="Y355" s="1315"/>
    </row>
    <row r="356" spans="1:25" x14ac:dyDescent="0.2">
      <c r="A356" s="1730"/>
      <c r="B356" s="1730"/>
      <c r="C356" s="1730"/>
      <c r="D356" s="1730"/>
      <c r="E356" s="1314"/>
      <c r="R356" s="1315"/>
      <c r="S356" s="1315"/>
      <c r="T356" s="1315"/>
      <c r="U356" s="1315"/>
      <c r="V356" s="1315"/>
      <c r="W356" s="1315"/>
      <c r="X356" s="1315"/>
      <c r="Y356" s="1315"/>
    </row>
    <row r="357" spans="1:25" x14ac:dyDescent="0.2">
      <c r="A357" s="1730"/>
      <c r="B357" s="1730"/>
      <c r="C357" s="1730"/>
      <c r="D357" s="1730"/>
      <c r="E357" s="1314"/>
      <c r="R357" s="1315"/>
      <c r="S357" s="1315"/>
      <c r="T357" s="1315"/>
      <c r="U357" s="1315"/>
      <c r="V357" s="1315"/>
      <c r="W357" s="1315"/>
      <c r="X357" s="1315"/>
      <c r="Y357" s="1315"/>
    </row>
    <row r="358" spans="1:25" x14ac:dyDescent="0.2">
      <c r="A358" s="1730"/>
      <c r="B358" s="1730"/>
      <c r="C358" s="1730"/>
      <c r="D358" s="1730"/>
      <c r="E358" s="1314"/>
      <c r="R358" s="1315"/>
      <c r="S358" s="1315"/>
      <c r="T358" s="1315"/>
      <c r="U358" s="1315"/>
      <c r="V358" s="1315"/>
      <c r="W358" s="1315"/>
      <c r="X358" s="1315"/>
      <c r="Y358" s="1315"/>
    </row>
    <row r="359" spans="1:25" x14ac:dyDescent="0.2">
      <c r="A359" s="1730"/>
      <c r="B359" s="1730"/>
      <c r="C359" s="1730"/>
      <c r="D359" s="1730"/>
      <c r="E359" s="1314"/>
      <c r="R359" s="1315"/>
      <c r="S359" s="1315"/>
      <c r="T359" s="1315"/>
      <c r="U359" s="1315"/>
      <c r="V359" s="1315"/>
      <c r="W359" s="1315"/>
      <c r="X359" s="1315"/>
      <c r="Y359" s="1315"/>
    </row>
    <row r="360" spans="1:25" x14ac:dyDescent="0.2">
      <c r="A360" s="1730"/>
      <c r="B360" s="1730"/>
      <c r="C360" s="1730"/>
      <c r="D360" s="1730"/>
      <c r="E360" s="1314"/>
      <c r="R360" s="1315"/>
      <c r="S360" s="1315"/>
      <c r="T360" s="1315"/>
      <c r="U360" s="1315"/>
      <c r="V360" s="1315"/>
      <c r="W360" s="1315"/>
      <c r="X360" s="1315"/>
      <c r="Y360" s="1315"/>
    </row>
    <row r="361" spans="1:25" x14ac:dyDescent="0.2">
      <c r="A361" s="1730"/>
      <c r="B361" s="1730"/>
      <c r="C361" s="1730"/>
      <c r="D361" s="1730"/>
      <c r="E361" s="1314"/>
      <c r="R361" s="1315"/>
      <c r="S361" s="1315"/>
      <c r="T361" s="1315"/>
      <c r="U361" s="1315"/>
      <c r="V361" s="1315"/>
      <c r="W361" s="1315"/>
      <c r="X361" s="1315"/>
      <c r="Y361" s="1315"/>
    </row>
    <row r="362" spans="1:25" x14ac:dyDescent="0.2">
      <c r="A362" s="1730"/>
      <c r="B362" s="1730"/>
      <c r="C362" s="1730"/>
      <c r="D362" s="1730"/>
      <c r="E362" s="1314"/>
      <c r="R362" s="1315"/>
      <c r="S362" s="1315"/>
      <c r="T362" s="1315"/>
      <c r="U362" s="1315"/>
      <c r="V362" s="1315"/>
      <c r="W362" s="1315"/>
      <c r="X362" s="1315"/>
      <c r="Y362" s="1315"/>
    </row>
    <row r="363" spans="1:25" x14ac:dyDescent="0.2">
      <c r="A363" s="1730"/>
      <c r="B363" s="1730"/>
      <c r="C363" s="1730"/>
      <c r="D363" s="1730"/>
      <c r="E363" s="1314"/>
      <c r="R363" s="1315"/>
      <c r="S363" s="1315"/>
      <c r="T363" s="1315"/>
      <c r="U363" s="1315"/>
      <c r="V363" s="1315"/>
      <c r="W363" s="1315"/>
      <c r="X363" s="1315"/>
      <c r="Y363" s="1315"/>
    </row>
    <row r="364" spans="1:25" x14ac:dyDescent="0.2">
      <c r="A364" s="1730"/>
      <c r="B364" s="1730"/>
      <c r="C364" s="1730"/>
      <c r="D364" s="1730"/>
      <c r="E364" s="1314"/>
      <c r="R364" s="1315"/>
      <c r="S364" s="1315"/>
      <c r="T364" s="1315"/>
      <c r="U364" s="1315"/>
      <c r="V364" s="1315"/>
      <c r="W364" s="1315"/>
      <c r="X364" s="1315"/>
      <c r="Y364" s="1315"/>
    </row>
    <row r="365" spans="1:25" x14ac:dyDescent="0.2">
      <c r="A365" s="1730"/>
      <c r="B365" s="1730"/>
      <c r="C365" s="1730"/>
      <c r="D365" s="1730"/>
      <c r="E365" s="1314"/>
      <c r="R365" s="1315"/>
      <c r="S365" s="1315"/>
      <c r="T365" s="1315"/>
      <c r="U365" s="1315"/>
      <c r="V365" s="1315"/>
      <c r="W365" s="1315"/>
      <c r="X365" s="1315"/>
      <c r="Y365" s="1315"/>
    </row>
    <row r="366" spans="1:25" x14ac:dyDescent="0.2">
      <c r="A366" s="1730"/>
      <c r="B366" s="1730"/>
      <c r="C366" s="1730"/>
      <c r="D366" s="1730"/>
      <c r="E366" s="1314"/>
      <c r="R366" s="1315"/>
      <c r="S366" s="1315"/>
      <c r="T366" s="1315"/>
      <c r="U366" s="1315"/>
      <c r="V366" s="1315"/>
      <c r="W366" s="1315"/>
      <c r="X366" s="1315"/>
      <c r="Y366" s="1315"/>
    </row>
    <row r="367" spans="1:25" x14ac:dyDescent="0.2">
      <c r="A367" s="1730"/>
      <c r="B367" s="1730"/>
      <c r="C367" s="1730"/>
      <c r="D367" s="1730"/>
      <c r="E367" s="1314"/>
      <c r="R367" s="1315"/>
      <c r="S367" s="1315"/>
      <c r="T367" s="1315"/>
      <c r="U367" s="1315"/>
      <c r="V367" s="1315"/>
      <c r="W367" s="1315"/>
      <c r="X367" s="1315"/>
      <c r="Y367" s="1315"/>
    </row>
    <row r="368" spans="1:25" x14ac:dyDescent="0.2">
      <c r="A368" s="1730"/>
      <c r="B368" s="1730"/>
      <c r="C368" s="1730"/>
      <c r="D368" s="1730"/>
      <c r="E368" s="1314"/>
      <c r="R368" s="1315"/>
      <c r="S368" s="1315"/>
      <c r="T368" s="1315"/>
      <c r="U368" s="1315"/>
      <c r="V368" s="1315"/>
      <c r="W368" s="1315"/>
      <c r="X368" s="1315"/>
      <c r="Y368" s="1315"/>
    </row>
    <row r="369" spans="1:25" x14ac:dyDescent="0.2">
      <c r="A369" s="1730"/>
      <c r="B369" s="1730"/>
      <c r="C369" s="1730"/>
      <c r="D369" s="1730"/>
      <c r="E369" s="1314"/>
      <c r="R369" s="1315"/>
      <c r="S369" s="1315"/>
      <c r="T369" s="1315"/>
      <c r="U369" s="1315"/>
      <c r="V369" s="1315"/>
      <c r="W369" s="1315"/>
      <c r="X369" s="1315"/>
      <c r="Y369" s="1315"/>
    </row>
    <row r="370" spans="1:25" x14ac:dyDescent="0.2">
      <c r="A370" s="1730"/>
      <c r="B370" s="1730"/>
      <c r="C370" s="1730"/>
      <c r="D370" s="1730"/>
      <c r="E370" s="1314"/>
      <c r="R370" s="1315"/>
      <c r="S370" s="1315"/>
      <c r="T370" s="1315"/>
      <c r="U370" s="1315"/>
      <c r="V370" s="1315"/>
      <c r="W370" s="1315"/>
      <c r="X370" s="1315"/>
      <c r="Y370" s="1315"/>
    </row>
    <row r="371" spans="1:25" x14ac:dyDescent="0.2">
      <c r="A371" s="1730"/>
      <c r="B371" s="1730"/>
      <c r="C371" s="1730"/>
      <c r="D371" s="1730"/>
      <c r="E371" s="1314"/>
      <c r="R371" s="1315"/>
      <c r="S371" s="1315"/>
      <c r="T371" s="1315"/>
      <c r="U371" s="1315"/>
      <c r="V371" s="1315"/>
      <c r="W371" s="1315"/>
      <c r="X371" s="1315"/>
      <c r="Y371" s="1315"/>
    </row>
    <row r="372" spans="1:25" x14ac:dyDescent="0.2">
      <c r="A372" s="1730"/>
      <c r="B372" s="1730"/>
      <c r="C372" s="1730"/>
      <c r="D372" s="1730"/>
      <c r="E372" s="1314"/>
      <c r="R372" s="1315"/>
      <c r="S372" s="1315"/>
      <c r="T372" s="1315"/>
      <c r="U372" s="1315"/>
      <c r="V372" s="1315"/>
      <c r="W372" s="1315"/>
      <c r="X372" s="1315"/>
      <c r="Y372" s="1315"/>
    </row>
    <row r="373" spans="1:25" x14ac:dyDescent="0.2">
      <c r="A373" s="1730"/>
      <c r="B373" s="1730"/>
      <c r="C373" s="1730"/>
      <c r="D373" s="1730"/>
      <c r="E373" s="1314"/>
      <c r="R373" s="1315"/>
      <c r="S373" s="1315"/>
      <c r="T373" s="1315"/>
      <c r="U373" s="1315"/>
      <c r="V373" s="1315"/>
      <c r="W373" s="1315"/>
      <c r="X373" s="1315"/>
      <c r="Y373" s="1315"/>
    </row>
    <row r="374" spans="1:25" x14ac:dyDescent="0.2">
      <c r="A374" s="1730"/>
      <c r="B374" s="1730"/>
      <c r="C374" s="1730"/>
      <c r="D374" s="1730"/>
      <c r="E374" s="1314"/>
      <c r="R374" s="1315"/>
      <c r="S374" s="1315"/>
      <c r="T374" s="1315"/>
      <c r="U374" s="1315"/>
      <c r="V374" s="1315"/>
      <c r="W374" s="1315"/>
      <c r="X374" s="1315"/>
      <c r="Y374" s="1315"/>
    </row>
    <row r="375" spans="1:25" x14ac:dyDescent="0.2">
      <c r="A375" s="1730"/>
      <c r="B375" s="1730"/>
      <c r="C375" s="1730"/>
      <c r="D375" s="1730"/>
      <c r="E375" s="1314"/>
      <c r="R375" s="1315"/>
      <c r="S375" s="1315"/>
      <c r="T375" s="1315"/>
      <c r="U375" s="1315"/>
      <c r="V375" s="1315"/>
      <c r="W375" s="1315"/>
      <c r="X375" s="1315"/>
      <c r="Y375" s="1315"/>
    </row>
    <row r="376" spans="1:25" x14ac:dyDescent="0.2">
      <c r="A376" s="1730"/>
      <c r="B376" s="1730"/>
      <c r="C376" s="1730"/>
      <c r="D376" s="1730"/>
      <c r="E376" s="1314"/>
      <c r="R376" s="1315"/>
      <c r="S376" s="1315"/>
      <c r="T376" s="1315"/>
      <c r="U376" s="1315"/>
      <c r="V376" s="1315"/>
      <c r="W376" s="1315"/>
      <c r="X376" s="1315"/>
      <c r="Y376" s="1315"/>
    </row>
    <row r="377" spans="1:25" x14ac:dyDescent="0.2">
      <c r="A377" s="1730"/>
      <c r="B377" s="1730"/>
      <c r="C377" s="1730"/>
      <c r="D377" s="1730"/>
      <c r="E377" s="1314"/>
      <c r="R377" s="1315"/>
      <c r="S377" s="1315"/>
      <c r="T377" s="1315"/>
      <c r="U377" s="1315"/>
      <c r="V377" s="1315"/>
      <c r="W377" s="1315"/>
      <c r="X377" s="1315"/>
      <c r="Y377" s="1315"/>
    </row>
    <row r="378" spans="1:25" x14ac:dyDescent="0.2">
      <c r="A378" s="1730"/>
      <c r="B378" s="1730"/>
      <c r="C378" s="1730"/>
      <c r="D378" s="1730"/>
      <c r="E378" s="1314"/>
      <c r="R378" s="1315"/>
      <c r="S378" s="1315"/>
      <c r="T378" s="1315"/>
      <c r="U378" s="1315"/>
      <c r="V378" s="1315"/>
      <c r="W378" s="1315"/>
      <c r="X378" s="1315"/>
      <c r="Y378" s="1315"/>
    </row>
    <row r="379" spans="1:25" x14ac:dyDescent="0.2">
      <c r="A379" s="1730"/>
      <c r="B379" s="1730"/>
      <c r="C379" s="1730"/>
      <c r="D379" s="1730"/>
      <c r="E379" s="1314"/>
      <c r="R379" s="1315"/>
      <c r="S379" s="1315"/>
      <c r="T379" s="1315"/>
      <c r="U379" s="1315"/>
      <c r="V379" s="1315"/>
      <c r="W379" s="1315"/>
      <c r="X379" s="1315"/>
      <c r="Y379" s="1315"/>
    </row>
    <row r="380" spans="1:25" x14ac:dyDescent="0.2">
      <c r="A380" s="1730"/>
      <c r="B380" s="1730"/>
      <c r="C380" s="1730"/>
      <c r="D380" s="1730"/>
      <c r="E380" s="1314"/>
      <c r="R380" s="1315"/>
      <c r="S380" s="1315"/>
      <c r="T380" s="1315"/>
      <c r="U380" s="1315"/>
      <c r="V380" s="1315"/>
      <c r="W380" s="1315"/>
      <c r="X380" s="1315"/>
      <c r="Y380" s="1315"/>
    </row>
    <row r="381" spans="1:25" x14ac:dyDescent="0.2">
      <c r="A381" s="1730"/>
      <c r="B381" s="1730"/>
      <c r="C381" s="1730"/>
      <c r="D381" s="1730"/>
      <c r="E381" s="1314"/>
      <c r="R381" s="1315"/>
      <c r="S381" s="1315"/>
      <c r="T381" s="1315"/>
      <c r="U381" s="1315"/>
      <c r="V381" s="1315"/>
      <c r="W381" s="1315"/>
      <c r="X381" s="1315"/>
      <c r="Y381" s="1315"/>
    </row>
    <row r="382" spans="1:25" x14ac:dyDescent="0.2">
      <c r="A382" s="1730"/>
      <c r="B382" s="1730"/>
      <c r="C382" s="1730"/>
      <c r="D382" s="1730"/>
      <c r="E382" s="1314"/>
      <c r="R382" s="1315"/>
      <c r="S382" s="1315"/>
      <c r="T382" s="1315"/>
      <c r="U382" s="1315"/>
      <c r="V382" s="1315"/>
      <c r="W382" s="1315"/>
      <c r="X382" s="1315"/>
      <c r="Y382" s="1315"/>
    </row>
    <row r="383" spans="1:25" x14ac:dyDescent="0.2">
      <c r="A383" s="1730"/>
      <c r="B383" s="1730"/>
      <c r="C383" s="1730"/>
      <c r="D383" s="1730"/>
      <c r="E383" s="1314"/>
      <c r="R383" s="1315"/>
      <c r="S383" s="1315"/>
      <c r="T383" s="1315"/>
      <c r="U383" s="1315"/>
      <c r="V383" s="1315"/>
      <c r="W383" s="1315"/>
      <c r="X383" s="1315"/>
      <c r="Y383" s="1315"/>
    </row>
    <row r="384" spans="1:25" x14ac:dyDescent="0.2">
      <c r="A384" s="1730"/>
      <c r="B384" s="1730"/>
      <c r="C384" s="1730"/>
      <c r="D384" s="1730"/>
      <c r="E384" s="1314"/>
      <c r="R384" s="1315"/>
      <c r="S384" s="1315"/>
      <c r="T384" s="1315"/>
      <c r="U384" s="1315"/>
      <c r="V384" s="1315"/>
      <c r="W384" s="1315"/>
      <c r="X384" s="1315"/>
      <c r="Y384" s="1315"/>
    </row>
    <row r="385" spans="1:25" x14ac:dyDescent="0.2">
      <c r="A385" s="1730"/>
      <c r="B385" s="1730"/>
      <c r="C385" s="1730"/>
      <c r="D385" s="1730"/>
      <c r="E385" s="1314"/>
      <c r="R385" s="1315"/>
      <c r="S385" s="1315"/>
      <c r="T385" s="1315"/>
      <c r="U385" s="1315"/>
      <c r="V385" s="1315"/>
      <c r="W385" s="1315"/>
      <c r="X385" s="1315"/>
      <c r="Y385" s="1315"/>
    </row>
    <row r="386" spans="1:25" x14ac:dyDescent="0.2">
      <c r="A386" s="1730"/>
      <c r="B386" s="1730"/>
      <c r="C386" s="1730"/>
      <c r="D386" s="1730"/>
      <c r="E386" s="1314"/>
      <c r="R386" s="1315"/>
      <c r="S386" s="1315"/>
      <c r="T386" s="1315"/>
      <c r="U386" s="1315"/>
      <c r="V386" s="1315"/>
      <c r="W386" s="1315"/>
      <c r="X386" s="1315"/>
      <c r="Y386" s="1315"/>
    </row>
    <row r="387" spans="1:25" x14ac:dyDescent="0.2">
      <c r="A387" s="1730"/>
      <c r="B387" s="1730"/>
      <c r="C387" s="1730"/>
      <c r="D387" s="1730"/>
      <c r="E387" s="1314"/>
      <c r="R387" s="1315"/>
      <c r="S387" s="1315"/>
      <c r="T387" s="1315"/>
      <c r="U387" s="1315"/>
      <c r="V387" s="1315"/>
      <c r="W387" s="1315"/>
      <c r="X387" s="1315"/>
      <c r="Y387" s="1315"/>
    </row>
    <row r="388" spans="1:25" x14ac:dyDescent="0.2">
      <c r="A388" s="1730"/>
      <c r="B388" s="1730"/>
      <c r="C388" s="1730"/>
      <c r="D388" s="1730"/>
      <c r="E388" s="1314"/>
      <c r="R388" s="1315"/>
      <c r="S388" s="1315"/>
      <c r="T388" s="1315"/>
      <c r="U388" s="1315"/>
      <c r="V388" s="1315"/>
      <c r="W388" s="1315"/>
      <c r="X388" s="1315"/>
      <c r="Y388" s="1315"/>
    </row>
    <row r="389" spans="1:25" x14ac:dyDescent="0.2">
      <c r="A389" s="1730"/>
      <c r="B389" s="1730"/>
      <c r="C389" s="1730"/>
      <c r="D389" s="1730"/>
      <c r="E389" s="1314"/>
      <c r="R389" s="1315"/>
      <c r="S389" s="1315"/>
      <c r="T389" s="1315"/>
      <c r="U389" s="1315"/>
      <c r="V389" s="1315"/>
      <c r="W389" s="1315"/>
      <c r="X389" s="1315"/>
      <c r="Y389" s="1315"/>
    </row>
    <row r="390" spans="1:25" x14ac:dyDescent="0.2">
      <c r="A390" s="1730"/>
      <c r="B390" s="1730"/>
      <c r="C390" s="1730"/>
      <c r="D390" s="1730"/>
      <c r="E390" s="1314"/>
      <c r="R390" s="1315"/>
      <c r="S390" s="1315"/>
      <c r="T390" s="1315"/>
      <c r="U390" s="1315"/>
      <c r="V390" s="1315"/>
      <c r="W390" s="1315"/>
      <c r="X390" s="1315"/>
      <c r="Y390" s="1315"/>
    </row>
    <row r="391" spans="1:25" x14ac:dyDescent="0.2">
      <c r="A391" s="1730"/>
      <c r="B391" s="1730"/>
      <c r="C391" s="1730"/>
      <c r="D391" s="1730"/>
      <c r="E391" s="1314"/>
      <c r="R391" s="1315"/>
      <c r="S391" s="1315"/>
      <c r="T391" s="1315"/>
      <c r="U391" s="1315"/>
      <c r="V391" s="1315"/>
      <c r="W391" s="1315"/>
      <c r="X391" s="1315"/>
      <c r="Y391" s="1315"/>
    </row>
    <row r="392" spans="1:25" x14ac:dyDescent="0.2">
      <c r="A392" s="1730"/>
      <c r="B392" s="1730"/>
      <c r="C392" s="1730"/>
      <c r="D392" s="1730"/>
      <c r="E392" s="1314"/>
      <c r="R392" s="1315"/>
      <c r="S392" s="1315"/>
      <c r="T392" s="1315"/>
      <c r="U392" s="1315"/>
      <c r="V392" s="1315"/>
      <c r="W392" s="1315"/>
      <c r="X392" s="1315"/>
      <c r="Y392" s="1315"/>
    </row>
    <row r="393" spans="1:25" x14ac:dyDescent="0.2">
      <c r="A393" s="1730"/>
      <c r="B393" s="1730"/>
      <c r="C393" s="1730"/>
      <c r="D393" s="1730"/>
      <c r="E393" s="1314"/>
      <c r="R393" s="1315"/>
      <c r="S393" s="1315"/>
      <c r="T393" s="1315"/>
      <c r="U393" s="1315"/>
      <c r="V393" s="1315"/>
      <c r="W393" s="1315"/>
      <c r="X393" s="1315"/>
      <c r="Y393" s="1315"/>
    </row>
    <row r="394" spans="1:25" x14ac:dyDescent="0.2">
      <c r="A394" s="1730"/>
      <c r="B394" s="1730"/>
      <c r="C394" s="1730"/>
      <c r="D394" s="1730"/>
      <c r="E394" s="1314"/>
      <c r="R394" s="1315"/>
      <c r="S394" s="1315"/>
      <c r="T394" s="1315"/>
      <c r="U394" s="1315"/>
      <c r="V394" s="1315"/>
      <c r="W394" s="1315"/>
      <c r="X394" s="1315"/>
      <c r="Y394" s="1315"/>
    </row>
    <row r="395" spans="1:25" x14ac:dyDescent="0.2">
      <c r="A395" s="1730"/>
      <c r="B395" s="1730"/>
      <c r="C395" s="1730"/>
      <c r="D395" s="1730"/>
      <c r="E395" s="1314"/>
      <c r="R395" s="1315"/>
      <c r="S395" s="1315"/>
      <c r="T395" s="1315"/>
      <c r="U395" s="1315"/>
      <c r="V395" s="1315"/>
      <c r="W395" s="1315"/>
      <c r="X395" s="1315"/>
      <c r="Y395" s="1315"/>
    </row>
    <row r="396" spans="1:25" x14ac:dyDescent="0.2">
      <c r="A396" s="1730"/>
      <c r="B396" s="1730"/>
      <c r="C396" s="1730"/>
      <c r="D396" s="1730"/>
      <c r="E396" s="1314"/>
      <c r="R396" s="1315"/>
      <c r="S396" s="1315"/>
      <c r="T396" s="1315"/>
      <c r="U396" s="1315"/>
      <c r="V396" s="1315"/>
      <c r="W396" s="1315"/>
      <c r="X396" s="1315"/>
      <c r="Y396" s="1315"/>
    </row>
    <row r="397" spans="1:25" x14ac:dyDescent="0.2">
      <c r="A397" s="1730"/>
      <c r="B397" s="1730"/>
      <c r="C397" s="1730"/>
      <c r="D397" s="1730"/>
      <c r="E397" s="1314"/>
      <c r="R397" s="1315"/>
      <c r="S397" s="1315"/>
      <c r="T397" s="1315"/>
      <c r="U397" s="1315"/>
      <c r="V397" s="1315"/>
      <c r="W397" s="1315"/>
      <c r="X397" s="1315"/>
      <c r="Y397" s="1315"/>
    </row>
    <row r="398" spans="1:25" x14ac:dyDescent="0.2">
      <c r="A398" s="1730"/>
      <c r="B398" s="1730"/>
      <c r="C398" s="1730"/>
      <c r="D398" s="1730"/>
      <c r="E398" s="1314"/>
      <c r="R398" s="1315"/>
      <c r="S398" s="1315"/>
      <c r="T398" s="1315"/>
      <c r="U398" s="1315"/>
      <c r="V398" s="1315"/>
      <c r="W398" s="1315"/>
      <c r="X398" s="1315"/>
      <c r="Y398" s="1315"/>
    </row>
    <row r="399" spans="1:25" x14ac:dyDescent="0.2">
      <c r="A399" s="1730"/>
      <c r="B399" s="1730"/>
      <c r="C399" s="1730"/>
      <c r="D399" s="1730"/>
      <c r="E399" s="1314"/>
      <c r="R399" s="1315"/>
      <c r="S399" s="1315"/>
      <c r="T399" s="1315"/>
      <c r="U399" s="1315"/>
      <c r="V399" s="1315"/>
      <c r="W399" s="1315"/>
      <c r="X399" s="1315"/>
      <c r="Y399" s="1315"/>
    </row>
    <row r="400" spans="1:25" x14ac:dyDescent="0.2">
      <c r="A400" s="1730"/>
      <c r="B400" s="1730"/>
      <c r="C400" s="1730"/>
      <c r="D400" s="1730"/>
      <c r="E400" s="1314"/>
      <c r="R400" s="1315"/>
      <c r="S400" s="1315"/>
      <c r="T400" s="1315"/>
      <c r="U400" s="1315"/>
      <c r="V400" s="1315"/>
      <c r="W400" s="1315"/>
      <c r="X400" s="1315"/>
      <c r="Y400" s="1315"/>
    </row>
    <row r="401" spans="1:25" x14ac:dyDescent="0.2">
      <c r="A401" s="1730"/>
      <c r="B401" s="1730"/>
      <c r="C401" s="1730"/>
      <c r="D401" s="1730"/>
      <c r="E401" s="1314"/>
      <c r="R401" s="1315"/>
      <c r="S401" s="1315"/>
      <c r="T401" s="1315"/>
      <c r="U401" s="1315"/>
      <c r="V401" s="1315"/>
      <c r="W401" s="1315"/>
      <c r="X401" s="1315"/>
      <c r="Y401" s="1315"/>
    </row>
    <row r="402" spans="1:25" x14ac:dyDescent="0.2">
      <c r="A402" s="1730"/>
      <c r="B402" s="1730"/>
      <c r="C402" s="1730"/>
      <c r="D402" s="1730"/>
      <c r="E402" s="1314"/>
      <c r="R402" s="1315"/>
      <c r="S402" s="1315"/>
      <c r="T402" s="1315"/>
      <c r="U402" s="1315"/>
      <c r="V402" s="1315"/>
      <c r="W402" s="1315"/>
      <c r="X402" s="1315"/>
      <c r="Y402" s="1315"/>
    </row>
    <row r="403" spans="1:25" x14ac:dyDescent="0.2">
      <c r="A403" s="1730"/>
      <c r="B403" s="1730"/>
      <c r="C403" s="1730"/>
      <c r="D403" s="1730"/>
      <c r="E403" s="1314"/>
      <c r="R403" s="1315"/>
      <c r="S403" s="1315"/>
      <c r="T403" s="1315"/>
      <c r="U403" s="1315"/>
      <c r="V403" s="1315"/>
      <c r="W403" s="1315"/>
      <c r="X403" s="1315"/>
      <c r="Y403" s="1315"/>
    </row>
    <row r="404" spans="1:25" x14ac:dyDescent="0.2">
      <c r="A404" s="1730"/>
      <c r="B404" s="1730"/>
      <c r="C404" s="1730"/>
      <c r="D404" s="1730"/>
      <c r="E404" s="1314"/>
      <c r="R404" s="1315"/>
      <c r="S404" s="1315"/>
      <c r="T404" s="1315"/>
      <c r="U404" s="1315"/>
      <c r="V404" s="1315"/>
      <c r="W404" s="1315"/>
      <c r="X404" s="1315"/>
      <c r="Y404" s="1315"/>
    </row>
    <row r="405" spans="1:25" x14ac:dyDescent="0.2">
      <c r="A405" s="1730"/>
      <c r="B405" s="1730"/>
      <c r="C405" s="1730"/>
      <c r="D405" s="1730"/>
      <c r="E405" s="1314"/>
      <c r="R405" s="1315"/>
      <c r="S405" s="1315"/>
      <c r="T405" s="1315"/>
      <c r="U405" s="1315"/>
      <c r="V405" s="1315"/>
      <c r="W405" s="1315"/>
      <c r="X405" s="1315"/>
      <c r="Y405" s="1315"/>
    </row>
    <row r="406" spans="1:25" x14ac:dyDescent="0.2">
      <c r="A406" s="1730"/>
      <c r="B406" s="1730"/>
      <c r="C406" s="1730"/>
      <c r="D406" s="1730"/>
      <c r="E406" s="1314"/>
      <c r="R406" s="1315"/>
      <c r="S406" s="1315"/>
      <c r="T406" s="1315"/>
      <c r="U406" s="1315"/>
      <c r="V406" s="1315"/>
      <c r="W406" s="1315"/>
      <c r="X406" s="1315"/>
      <c r="Y406" s="1315"/>
    </row>
    <row r="407" spans="1:25" x14ac:dyDescent="0.2">
      <c r="A407" s="1730"/>
      <c r="B407" s="1730"/>
      <c r="C407" s="1730"/>
      <c r="D407" s="1730"/>
      <c r="E407" s="1314"/>
      <c r="R407" s="1315"/>
      <c r="S407" s="1315"/>
      <c r="T407" s="1315"/>
      <c r="U407" s="1315"/>
      <c r="V407" s="1315"/>
      <c r="W407" s="1315"/>
      <c r="X407" s="1315"/>
      <c r="Y407" s="1315"/>
    </row>
    <row r="408" spans="1:25" x14ac:dyDescent="0.2">
      <c r="A408" s="1730"/>
      <c r="B408" s="1730"/>
      <c r="C408" s="1730"/>
      <c r="D408" s="1730"/>
      <c r="E408" s="1314"/>
      <c r="R408" s="1315"/>
      <c r="S408" s="1315"/>
      <c r="T408" s="1315"/>
      <c r="U408" s="1315"/>
      <c r="V408" s="1315"/>
      <c r="W408" s="1315"/>
      <c r="X408" s="1315"/>
      <c r="Y408" s="1315"/>
    </row>
    <row r="409" spans="1:25" x14ac:dyDescent="0.2">
      <c r="A409" s="1730"/>
      <c r="B409" s="1730"/>
      <c r="C409" s="1730"/>
      <c r="D409" s="1730"/>
      <c r="E409" s="1314"/>
      <c r="R409" s="1315"/>
      <c r="S409" s="1315"/>
      <c r="T409" s="1315"/>
      <c r="U409" s="1315"/>
      <c r="V409" s="1315"/>
      <c r="W409" s="1315"/>
      <c r="X409" s="1315"/>
      <c r="Y409" s="1315"/>
    </row>
    <row r="410" spans="1:25" x14ac:dyDescent="0.2">
      <c r="A410" s="1730"/>
      <c r="B410" s="1730"/>
      <c r="C410" s="1730"/>
      <c r="D410" s="1730"/>
      <c r="E410" s="1314"/>
      <c r="R410" s="1315"/>
      <c r="S410" s="1315"/>
      <c r="T410" s="1315"/>
      <c r="U410" s="1315"/>
      <c r="V410" s="1315"/>
      <c r="W410" s="1315"/>
      <c r="X410" s="1315"/>
      <c r="Y410" s="1315"/>
    </row>
    <row r="411" spans="1:25" x14ac:dyDescent="0.2">
      <c r="A411" s="1730"/>
      <c r="B411" s="1730"/>
      <c r="C411" s="1730"/>
      <c r="D411" s="1730"/>
      <c r="E411" s="1314"/>
      <c r="R411" s="1315"/>
      <c r="S411" s="1315"/>
      <c r="T411" s="1315"/>
      <c r="U411" s="1315"/>
      <c r="V411" s="1315"/>
      <c r="W411" s="1315"/>
      <c r="X411" s="1315"/>
      <c r="Y411" s="1315"/>
    </row>
    <row r="412" spans="1:25" x14ac:dyDescent="0.2">
      <c r="A412" s="1730"/>
      <c r="B412" s="1730"/>
      <c r="C412" s="1730"/>
      <c r="D412" s="1730"/>
      <c r="E412" s="1314"/>
      <c r="R412" s="1315"/>
      <c r="S412" s="1315"/>
      <c r="T412" s="1315"/>
      <c r="U412" s="1315"/>
      <c r="V412" s="1315"/>
      <c r="W412" s="1315"/>
      <c r="X412" s="1315"/>
      <c r="Y412" s="1315"/>
    </row>
    <row r="413" spans="1:25" x14ac:dyDescent="0.2">
      <c r="A413" s="1730"/>
      <c r="B413" s="1730"/>
      <c r="C413" s="1730"/>
      <c r="D413" s="1730"/>
      <c r="E413" s="1314"/>
      <c r="R413" s="1315"/>
      <c r="S413" s="1315"/>
      <c r="T413" s="1315"/>
      <c r="U413" s="1315"/>
      <c r="V413" s="1315"/>
      <c r="W413" s="1315"/>
      <c r="X413" s="1315"/>
      <c r="Y413" s="1315"/>
    </row>
    <row r="414" spans="1:25" x14ac:dyDescent="0.2">
      <c r="A414" s="1730"/>
      <c r="B414" s="1730"/>
      <c r="C414" s="1730"/>
      <c r="D414" s="1730"/>
      <c r="E414" s="1314"/>
      <c r="R414" s="1315"/>
      <c r="S414" s="1315"/>
      <c r="T414" s="1315"/>
      <c r="U414" s="1315"/>
      <c r="V414" s="1315"/>
      <c r="W414" s="1315"/>
      <c r="X414" s="1315"/>
      <c r="Y414" s="1315"/>
    </row>
    <row r="415" spans="1:25" x14ac:dyDescent="0.2">
      <c r="A415" s="1730"/>
      <c r="B415" s="1730"/>
      <c r="C415" s="1730"/>
      <c r="D415" s="1730"/>
      <c r="E415" s="1314"/>
      <c r="R415" s="1315"/>
      <c r="S415" s="1315"/>
      <c r="T415" s="1315"/>
      <c r="U415" s="1315"/>
      <c r="V415" s="1315"/>
      <c r="W415" s="1315"/>
      <c r="X415" s="1315"/>
      <c r="Y415" s="1315"/>
    </row>
    <row r="416" spans="1:25" x14ac:dyDescent="0.2">
      <c r="A416" s="1730"/>
      <c r="B416" s="1730"/>
      <c r="C416" s="1730"/>
      <c r="D416" s="1730"/>
      <c r="E416" s="1314"/>
      <c r="R416" s="1315"/>
      <c r="S416" s="1315"/>
      <c r="T416" s="1315"/>
      <c r="U416" s="1315"/>
      <c r="V416" s="1315"/>
      <c r="W416" s="1315"/>
      <c r="X416" s="1315"/>
      <c r="Y416" s="1315"/>
    </row>
    <row r="417" spans="1:25" x14ac:dyDescent="0.2">
      <c r="A417" s="1730"/>
      <c r="B417" s="1730"/>
      <c r="C417" s="1730"/>
      <c r="D417" s="1730"/>
      <c r="E417" s="1314"/>
      <c r="R417" s="1315"/>
      <c r="S417" s="1315"/>
      <c r="T417" s="1315"/>
      <c r="U417" s="1315"/>
      <c r="V417" s="1315"/>
      <c r="W417" s="1315"/>
      <c r="X417" s="1315"/>
      <c r="Y417" s="1315"/>
    </row>
    <row r="418" spans="1:25" x14ac:dyDescent="0.2">
      <c r="A418" s="1730"/>
      <c r="B418" s="1730"/>
      <c r="C418" s="1730"/>
      <c r="D418" s="1730"/>
      <c r="E418" s="1314"/>
      <c r="R418" s="1315"/>
      <c r="S418" s="1315"/>
      <c r="T418" s="1315"/>
      <c r="U418" s="1315"/>
      <c r="V418" s="1315"/>
      <c r="W418" s="1315"/>
      <c r="X418" s="1315"/>
      <c r="Y418" s="1315"/>
    </row>
    <row r="419" spans="1:25" x14ac:dyDescent="0.2">
      <c r="A419" s="1730"/>
      <c r="B419" s="1730"/>
      <c r="C419" s="1730"/>
      <c r="D419" s="1730"/>
      <c r="E419" s="1314"/>
      <c r="R419" s="1315"/>
      <c r="S419" s="1315"/>
      <c r="T419" s="1315"/>
      <c r="U419" s="1315"/>
      <c r="V419" s="1315"/>
      <c r="W419" s="1315"/>
      <c r="X419" s="1315"/>
      <c r="Y419" s="1315"/>
    </row>
    <row r="420" spans="1:25" x14ac:dyDescent="0.2">
      <c r="A420" s="1730"/>
      <c r="B420" s="1730"/>
      <c r="C420" s="1730"/>
      <c r="D420" s="1730"/>
      <c r="E420" s="1314"/>
      <c r="R420" s="1315"/>
      <c r="S420" s="1315"/>
      <c r="T420" s="1315"/>
      <c r="U420" s="1315"/>
      <c r="V420" s="1315"/>
      <c r="W420" s="1315"/>
      <c r="X420" s="1315"/>
      <c r="Y420" s="1315"/>
    </row>
    <row r="421" spans="1:25" x14ac:dyDescent="0.2">
      <c r="A421" s="1730"/>
      <c r="B421" s="1730"/>
      <c r="C421" s="1730"/>
      <c r="D421" s="1730"/>
      <c r="E421" s="1314"/>
      <c r="R421" s="1315"/>
      <c r="S421" s="1315"/>
      <c r="T421" s="1315"/>
      <c r="U421" s="1315"/>
      <c r="V421" s="1315"/>
      <c r="W421" s="1315"/>
      <c r="X421" s="1315"/>
      <c r="Y421" s="1315"/>
    </row>
    <row r="422" spans="1:25" x14ac:dyDescent="0.2">
      <c r="A422" s="1730"/>
      <c r="B422" s="1730"/>
      <c r="C422" s="1730"/>
      <c r="D422" s="1730"/>
      <c r="E422" s="1314"/>
      <c r="R422" s="1315"/>
      <c r="S422" s="1315"/>
      <c r="T422" s="1315"/>
      <c r="U422" s="1315"/>
      <c r="V422" s="1315"/>
      <c r="W422" s="1315"/>
      <c r="X422" s="1315"/>
      <c r="Y422" s="1315"/>
    </row>
    <row r="423" spans="1:25" x14ac:dyDescent="0.2">
      <c r="A423" s="1730"/>
      <c r="B423" s="1730"/>
      <c r="C423" s="1730"/>
      <c r="D423" s="1730"/>
      <c r="E423" s="1314"/>
      <c r="R423" s="1315"/>
      <c r="S423" s="1315"/>
      <c r="T423" s="1315"/>
      <c r="U423" s="1315"/>
      <c r="V423" s="1315"/>
      <c r="W423" s="1315"/>
      <c r="X423" s="1315"/>
      <c r="Y423" s="1315"/>
    </row>
    <row r="424" spans="1:25" x14ac:dyDescent="0.2">
      <c r="A424" s="1730"/>
      <c r="B424" s="1730"/>
      <c r="C424" s="1730"/>
      <c r="D424" s="1730"/>
      <c r="E424" s="1314"/>
      <c r="R424" s="1315"/>
      <c r="S424" s="1315"/>
      <c r="T424" s="1315"/>
      <c r="U424" s="1315"/>
      <c r="V424" s="1315"/>
      <c r="W424" s="1315"/>
      <c r="X424" s="1315"/>
      <c r="Y424" s="1315"/>
    </row>
    <row r="425" spans="1:25" x14ac:dyDescent="0.2">
      <c r="A425" s="1730"/>
      <c r="B425" s="1730"/>
      <c r="C425" s="1730"/>
      <c r="D425" s="1730"/>
      <c r="E425" s="1314"/>
      <c r="R425" s="1315"/>
      <c r="S425" s="1315"/>
      <c r="T425" s="1315"/>
      <c r="U425" s="1315"/>
      <c r="V425" s="1315"/>
      <c r="W425" s="1315"/>
      <c r="X425" s="1315"/>
      <c r="Y425" s="1315"/>
    </row>
    <row r="426" spans="1:25" x14ac:dyDescent="0.2">
      <c r="A426" s="1730"/>
      <c r="B426" s="1730"/>
      <c r="C426" s="1730"/>
      <c r="D426" s="1730"/>
      <c r="E426" s="1314"/>
      <c r="R426" s="1315"/>
      <c r="S426" s="1315"/>
      <c r="T426" s="1315"/>
      <c r="U426" s="1315"/>
      <c r="V426" s="1315"/>
      <c r="W426" s="1315"/>
      <c r="X426" s="1315"/>
      <c r="Y426" s="1315"/>
    </row>
    <row r="427" spans="1:25" x14ac:dyDescent="0.2">
      <c r="A427" s="1730"/>
      <c r="B427" s="1730"/>
      <c r="C427" s="1730"/>
      <c r="D427" s="1730"/>
      <c r="E427" s="1314"/>
      <c r="R427" s="1315"/>
      <c r="S427" s="1315"/>
      <c r="T427" s="1315"/>
      <c r="U427" s="1315"/>
      <c r="V427" s="1315"/>
      <c r="W427" s="1315"/>
      <c r="X427" s="1315"/>
      <c r="Y427" s="1315"/>
    </row>
    <row r="428" spans="1:25" x14ac:dyDescent="0.2">
      <c r="A428" s="1730"/>
      <c r="B428" s="1730"/>
      <c r="C428" s="1730"/>
      <c r="D428" s="1730"/>
      <c r="E428" s="1314"/>
      <c r="R428" s="1315"/>
      <c r="S428" s="1315"/>
      <c r="T428" s="1315"/>
      <c r="U428" s="1315"/>
      <c r="V428" s="1315"/>
      <c r="W428" s="1315"/>
      <c r="X428" s="1315"/>
      <c r="Y428" s="1315"/>
    </row>
    <row r="429" spans="1:25" x14ac:dyDescent="0.2">
      <c r="A429" s="1730"/>
      <c r="B429" s="1730"/>
      <c r="C429" s="1730"/>
      <c r="D429" s="1730"/>
      <c r="E429" s="1314"/>
      <c r="R429" s="1315"/>
      <c r="S429" s="1315"/>
      <c r="T429" s="1315"/>
      <c r="U429" s="1315"/>
      <c r="V429" s="1315"/>
      <c r="W429" s="1315"/>
      <c r="X429" s="1315"/>
      <c r="Y429" s="1315"/>
    </row>
    <row r="430" spans="1:25" x14ac:dyDescent="0.2">
      <c r="A430" s="1730"/>
      <c r="B430" s="1730"/>
      <c r="C430" s="1730"/>
      <c r="D430" s="1730"/>
      <c r="E430" s="1314"/>
      <c r="R430" s="1315"/>
      <c r="S430" s="1315"/>
      <c r="T430" s="1315"/>
      <c r="U430" s="1315"/>
      <c r="V430" s="1315"/>
      <c r="W430" s="1315"/>
      <c r="X430" s="1315"/>
      <c r="Y430" s="1315"/>
    </row>
    <row r="431" spans="1:25" x14ac:dyDescent="0.2">
      <c r="A431" s="1730"/>
      <c r="B431" s="1730"/>
      <c r="C431" s="1730"/>
      <c r="D431" s="1730"/>
      <c r="E431" s="1314"/>
      <c r="R431" s="1315"/>
      <c r="S431" s="1315"/>
      <c r="T431" s="1315"/>
      <c r="U431" s="1315"/>
      <c r="V431" s="1315"/>
      <c r="W431" s="1315"/>
      <c r="X431" s="1315"/>
      <c r="Y431" s="1315"/>
    </row>
    <row r="432" spans="1:25" x14ac:dyDescent="0.2">
      <c r="A432" s="1730"/>
      <c r="B432" s="1730"/>
      <c r="C432" s="1730"/>
      <c r="D432" s="1730"/>
      <c r="E432" s="1314"/>
      <c r="R432" s="1315"/>
      <c r="S432" s="1315"/>
      <c r="T432" s="1315"/>
      <c r="U432" s="1315"/>
      <c r="V432" s="1315"/>
      <c r="W432" s="1315"/>
      <c r="X432" s="1315"/>
      <c r="Y432" s="1315"/>
    </row>
    <row r="433" spans="1:25" x14ac:dyDescent="0.2">
      <c r="A433" s="1730"/>
      <c r="B433" s="1730"/>
      <c r="C433" s="1730"/>
      <c r="D433" s="1730"/>
      <c r="E433" s="1314"/>
      <c r="R433" s="1315"/>
      <c r="S433" s="1315"/>
      <c r="T433" s="1315"/>
      <c r="U433" s="1315"/>
      <c r="V433" s="1315"/>
      <c r="W433" s="1315"/>
      <c r="X433" s="1315"/>
      <c r="Y433" s="1315"/>
    </row>
    <row r="434" spans="1:25" x14ac:dyDescent="0.2">
      <c r="A434" s="1730"/>
      <c r="B434" s="1730"/>
      <c r="C434" s="1730"/>
      <c r="D434" s="1730"/>
      <c r="E434" s="1314"/>
      <c r="R434" s="1315"/>
      <c r="S434" s="1315"/>
      <c r="T434" s="1315"/>
      <c r="U434" s="1315"/>
      <c r="V434" s="1315"/>
      <c r="W434" s="1315"/>
      <c r="X434" s="1315"/>
      <c r="Y434" s="1315"/>
    </row>
    <row r="435" spans="1:25" x14ac:dyDescent="0.2">
      <c r="A435" s="1730"/>
      <c r="B435" s="1730"/>
      <c r="C435" s="1730"/>
      <c r="D435" s="1730"/>
      <c r="E435" s="1314"/>
      <c r="R435" s="1315"/>
      <c r="S435" s="1315"/>
      <c r="T435" s="1315"/>
      <c r="U435" s="1315"/>
      <c r="V435" s="1315"/>
      <c r="W435" s="1315"/>
      <c r="X435" s="1315"/>
      <c r="Y435" s="1315"/>
    </row>
    <row r="436" spans="1:25" x14ac:dyDescent="0.2">
      <c r="A436" s="1730"/>
      <c r="B436" s="1730"/>
      <c r="C436" s="1730"/>
      <c r="D436" s="1730"/>
      <c r="E436" s="1314"/>
      <c r="R436" s="1315"/>
      <c r="S436" s="1315"/>
      <c r="T436" s="1315"/>
      <c r="U436" s="1315"/>
      <c r="V436" s="1315"/>
      <c r="W436" s="1315"/>
      <c r="X436" s="1315"/>
      <c r="Y436" s="1315"/>
    </row>
    <row r="437" spans="1:25" x14ac:dyDescent="0.2">
      <c r="A437" s="1730"/>
      <c r="B437" s="1730"/>
      <c r="C437" s="1730"/>
      <c r="D437" s="1730"/>
      <c r="E437" s="1314"/>
      <c r="R437" s="1315"/>
      <c r="S437" s="1315"/>
      <c r="T437" s="1315"/>
      <c r="U437" s="1315"/>
      <c r="V437" s="1315"/>
      <c r="W437" s="1315"/>
      <c r="X437" s="1315"/>
      <c r="Y437" s="1315"/>
    </row>
    <row r="438" spans="1:25" x14ac:dyDescent="0.2">
      <c r="A438" s="1730"/>
      <c r="B438" s="1730"/>
      <c r="C438" s="1730"/>
      <c r="D438" s="1730"/>
      <c r="E438" s="1314"/>
      <c r="R438" s="1315"/>
      <c r="S438" s="1315"/>
      <c r="T438" s="1315"/>
      <c r="U438" s="1315"/>
      <c r="V438" s="1315"/>
      <c r="W438" s="1315"/>
      <c r="X438" s="1315"/>
      <c r="Y438" s="1315"/>
    </row>
    <row r="439" spans="1:25" x14ac:dyDescent="0.2">
      <c r="A439" s="1730"/>
      <c r="B439" s="1730"/>
      <c r="C439" s="1730"/>
      <c r="D439" s="1730"/>
      <c r="E439" s="1314"/>
      <c r="R439" s="1315"/>
      <c r="S439" s="1315"/>
      <c r="T439" s="1315"/>
      <c r="U439" s="1315"/>
      <c r="V439" s="1315"/>
      <c r="W439" s="1315"/>
      <c r="X439" s="1315"/>
      <c r="Y439" s="1315"/>
    </row>
    <row r="440" spans="1:25" x14ac:dyDescent="0.2">
      <c r="A440" s="1730"/>
      <c r="B440" s="1730"/>
      <c r="C440" s="1730"/>
      <c r="D440" s="1730"/>
      <c r="E440" s="1314"/>
      <c r="R440" s="1315"/>
      <c r="S440" s="1315"/>
      <c r="T440" s="1315"/>
      <c r="U440" s="1315"/>
      <c r="V440" s="1315"/>
      <c r="W440" s="1315"/>
      <c r="X440" s="1315"/>
      <c r="Y440" s="1315"/>
    </row>
    <row r="441" spans="1:25" x14ac:dyDescent="0.2">
      <c r="A441" s="1730"/>
      <c r="B441" s="1730"/>
      <c r="C441" s="1730"/>
      <c r="D441" s="1730"/>
      <c r="E441" s="1314"/>
      <c r="R441" s="1315"/>
      <c r="S441" s="1315"/>
      <c r="T441" s="1315"/>
      <c r="U441" s="1315"/>
      <c r="V441" s="1315"/>
      <c r="W441" s="1315"/>
      <c r="X441" s="1315"/>
      <c r="Y441" s="1315"/>
    </row>
    <row r="442" spans="1:25" x14ac:dyDescent="0.2">
      <c r="A442" s="1730"/>
      <c r="B442" s="1730"/>
      <c r="C442" s="1730"/>
      <c r="D442" s="1730"/>
      <c r="E442" s="1314"/>
      <c r="R442" s="1315"/>
      <c r="S442" s="1315"/>
      <c r="T442" s="1315"/>
      <c r="U442" s="1315"/>
      <c r="V442" s="1315"/>
      <c r="W442" s="1315"/>
      <c r="X442" s="1315"/>
      <c r="Y442" s="1315"/>
    </row>
    <row r="443" spans="1:25" x14ac:dyDescent="0.2">
      <c r="A443" s="1730"/>
      <c r="B443" s="1730"/>
      <c r="C443" s="1730"/>
      <c r="D443" s="1730"/>
      <c r="E443" s="1314"/>
      <c r="R443" s="1315"/>
      <c r="S443" s="1315"/>
      <c r="T443" s="1315"/>
      <c r="U443" s="1315"/>
      <c r="V443" s="1315"/>
      <c r="W443" s="1315"/>
      <c r="X443" s="1315"/>
      <c r="Y443" s="1315"/>
    </row>
    <row r="444" spans="1:25" x14ac:dyDescent="0.2">
      <c r="A444" s="1730"/>
      <c r="B444" s="1730"/>
      <c r="C444" s="1730"/>
      <c r="D444" s="1730"/>
      <c r="E444" s="1314"/>
      <c r="R444" s="1315"/>
      <c r="S444" s="1315"/>
      <c r="T444" s="1315"/>
      <c r="U444" s="1315"/>
      <c r="V444" s="1315"/>
      <c r="W444" s="1315"/>
      <c r="X444" s="1315"/>
      <c r="Y444" s="1315"/>
    </row>
    <row r="445" spans="1:25" x14ac:dyDescent="0.2">
      <c r="A445" s="1730"/>
      <c r="B445" s="1730"/>
      <c r="C445" s="1730"/>
      <c r="D445" s="1730"/>
      <c r="E445" s="1314"/>
      <c r="R445" s="1315"/>
      <c r="S445" s="1315"/>
      <c r="T445" s="1315"/>
      <c r="U445" s="1315"/>
      <c r="V445" s="1315"/>
      <c r="W445" s="1315"/>
      <c r="X445" s="1315"/>
      <c r="Y445" s="1315"/>
    </row>
    <row r="446" spans="1:25" x14ac:dyDescent="0.2">
      <c r="A446" s="1730"/>
      <c r="B446" s="1730"/>
      <c r="C446" s="1730"/>
      <c r="D446" s="1730"/>
      <c r="E446" s="1314"/>
      <c r="R446" s="1315"/>
      <c r="S446" s="1315"/>
      <c r="T446" s="1315"/>
      <c r="U446" s="1315"/>
      <c r="V446" s="1315"/>
      <c r="W446" s="1315"/>
      <c r="X446" s="1315"/>
      <c r="Y446" s="1315"/>
    </row>
    <row r="447" spans="1:25" x14ac:dyDescent="0.2">
      <c r="A447" s="1730"/>
      <c r="B447" s="1730"/>
      <c r="C447" s="1730"/>
      <c r="D447" s="1730"/>
      <c r="E447" s="1314"/>
      <c r="R447" s="1315"/>
      <c r="S447" s="1315"/>
      <c r="T447" s="1315"/>
      <c r="U447" s="1315"/>
      <c r="V447" s="1315"/>
      <c r="W447" s="1315"/>
      <c r="X447" s="1315"/>
      <c r="Y447" s="1315"/>
    </row>
    <row r="448" spans="1:25" x14ac:dyDescent="0.2">
      <c r="A448" s="1730"/>
      <c r="B448" s="1730"/>
      <c r="C448" s="1730"/>
      <c r="D448" s="1730"/>
      <c r="E448" s="1314"/>
      <c r="R448" s="1315"/>
      <c r="S448" s="1315"/>
      <c r="T448" s="1315"/>
      <c r="U448" s="1315"/>
      <c r="V448" s="1315"/>
      <c r="W448" s="1315"/>
      <c r="X448" s="1315"/>
      <c r="Y448" s="1315"/>
    </row>
    <row r="449" spans="1:25" x14ac:dyDescent="0.2">
      <c r="A449" s="1730"/>
      <c r="B449" s="1730"/>
      <c r="C449" s="1730"/>
      <c r="D449" s="1730"/>
      <c r="E449" s="1314"/>
      <c r="R449" s="1315"/>
      <c r="S449" s="1315"/>
      <c r="T449" s="1315"/>
      <c r="U449" s="1315"/>
      <c r="V449" s="1315"/>
      <c r="W449" s="1315"/>
      <c r="X449" s="1315"/>
      <c r="Y449" s="1315"/>
    </row>
    <row r="450" spans="1:25" x14ac:dyDescent="0.2">
      <c r="A450" s="1730"/>
      <c r="B450" s="1730"/>
      <c r="C450" s="1730"/>
      <c r="D450" s="1730"/>
      <c r="E450" s="1314"/>
      <c r="R450" s="1315"/>
      <c r="S450" s="1315"/>
      <c r="T450" s="1315"/>
      <c r="U450" s="1315"/>
      <c r="V450" s="1315"/>
      <c r="W450" s="1315"/>
      <c r="X450" s="1315"/>
      <c r="Y450" s="1315"/>
    </row>
    <row r="451" spans="1:25" x14ac:dyDescent="0.2">
      <c r="A451" s="1730"/>
      <c r="B451" s="1730"/>
      <c r="C451" s="1730"/>
      <c r="D451" s="1730"/>
      <c r="E451" s="1314"/>
      <c r="R451" s="1315"/>
      <c r="S451" s="1315"/>
      <c r="T451" s="1315"/>
      <c r="U451" s="1315"/>
      <c r="V451" s="1315"/>
      <c r="W451" s="1315"/>
      <c r="X451" s="1315"/>
      <c r="Y451" s="1315"/>
    </row>
    <row r="452" spans="1:25" x14ac:dyDescent="0.2">
      <c r="A452" s="1730"/>
      <c r="B452" s="1730"/>
      <c r="C452" s="1730"/>
      <c r="D452" s="1730"/>
      <c r="E452" s="1314"/>
      <c r="R452" s="1315"/>
      <c r="S452" s="1315"/>
      <c r="T452" s="1315"/>
      <c r="U452" s="1315"/>
      <c r="V452" s="1315"/>
      <c r="W452" s="1315"/>
      <c r="X452" s="1315"/>
      <c r="Y452" s="1315"/>
    </row>
    <row r="453" spans="1:25" x14ac:dyDescent="0.2">
      <c r="A453" s="1730"/>
      <c r="B453" s="1730"/>
      <c r="C453" s="1730"/>
      <c r="D453" s="1730"/>
      <c r="E453" s="1314"/>
      <c r="R453" s="1315"/>
      <c r="S453" s="1315"/>
      <c r="T453" s="1315"/>
      <c r="U453" s="1315"/>
      <c r="V453" s="1315"/>
      <c r="W453" s="1315"/>
      <c r="X453" s="1315"/>
      <c r="Y453" s="1315"/>
    </row>
    <row r="454" spans="1:25" x14ac:dyDescent="0.2">
      <c r="A454" s="1730"/>
      <c r="B454" s="1730"/>
      <c r="C454" s="1730"/>
      <c r="D454" s="1730"/>
      <c r="E454" s="1314"/>
      <c r="R454" s="1315"/>
      <c r="S454" s="1315"/>
      <c r="T454" s="1315"/>
      <c r="U454" s="1315"/>
      <c r="V454" s="1315"/>
      <c r="W454" s="1315"/>
      <c r="X454" s="1315"/>
      <c r="Y454" s="1315"/>
    </row>
    <row r="455" spans="1:25" x14ac:dyDescent="0.2">
      <c r="A455" s="1730"/>
      <c r="B455" s="1730"/>
      <c r="C455" s="1730"/>
      <c r="D455" s="1730"/>
      <c r="E455" s="1314"/>
      <c r="R455" s="1315"/>
      <c r="S455" s="1315"/>
      <c r="T455" s="1315"/>
      <c r="U455" s="1315"/>
      <c r="V455" s="1315"/>
      <c r="W455" s="1315"/>
      <c r="X455" s="1315"/>
      <c r="Y455" s="1315"/>
    </row>
    <row r="456" spans="1:25" x14ac:dyDescent="0.2">
      <c r="A456" s="1730"/>
      <c r="B456" s="1730"/>
      <c r="C456" s="1730"/>
      <c r="D456" s="1730"/>
      <c r="E456" s="1314"/>
      <c r="R456" s="1315"/>
      <c r="S456" s="1315"/>
      <c r="T456" s="1315"/>
      <c r="U456" s="1315"/>
      <c r="V456" s="1315"/>
      <c r="W456" s="1315"/>
      <c r="X456" s="1315"/>
      <c r="Y456" s="1315"/>
    </row>
    <row r="457" spans="1:25" x14ac:dyDescent="0.2">
      <c r="A457" s="1730"/>
      <c r="B457" s="1730"/>
      <c r="C457" s="1730"/>
      <c r="D457" s="1730"/>
      <c r="E457" s="1314"/>
      <c r="R457" s="1315"/>
      <c r="S457" s="1315"/>
      <c r="T457" s="1315"/>
      <c r="U457" s="1315"/>
      <c r="V457" s="1315"/>
      <c r="W457" s="1315"/>
      <c r="X457" s="1315"/>
      <c r="Y457" s="1315"/>
    </row>
    <row r="458" spans="1:25" x14ac:dyDescent="0.2">
      <c r="A458" s="1730"/>
      <c r="B458" s="1730"/>
      <c r="C458" s="1730"/>
      <c r="D458" s="1730"/>
      <c r="E458" s="1314"/>
      <c r="R458" s="1315"/>
      <c r="S458" s="1315"/>
      <c r="T458" s="1315"/>
      <c r="U458" s="1315"/>
      <c r="V458" s="1315"/>
      <c r="W458" s="1315"/>
      <c r="X458" s="1315"/>
      <c r="Y458" s="1315"/>
    </row>
    <row r="459" spans="1:25" x14ac:dyDescent="0.2">
      <c r="A459" s="1730"/>
      <c r="B459" s="1730"/>
      <c r="C459" s="1730"/>
      <c r="D459" s="1730"/>
      <c r="E459" s="1314"/>
      <c r="R459" s="1315"/>
      <c r="S459" s="1315"/>
      <c r="T459" s="1315"/>
      <c r="U459" s="1315"/>
      <c r="V459" s="1315"/>
      <c r="W459" s="1315"/>
      <c r="X459" s="1315"/>
      <c r="Y459" s="1315"/>
    </row>
    <row r="460" spans="1:25" x14ac:dyDescent="0.2">
      <c r="A460" s="1730"/>
      <c r="B460" s="1730"/>
      <c r="C460" s="1730"/>
      <c r="D460" s="1730"/>
      <c r="E460" s="1314"/>
      <c r="R460" s="1315"/>
      <c r="S460" s="1315"/>
      <c r="T460" s="1315"/>
      <c r="U460" s="1315"/>
      <c r="V460" s="1315"/>
      <c r="W460" s="1315"/>
      <c r="X460" s="1315"/>
      <c r="Y460" s="1315"/>
    </row>
    <row r="461" spans="1:25" x14ac:dyDescent="0.2">
      <c r="A461" s="1730"/>
      <c r="B461" s="1730"/>
      <c r="C461" s="1730"/>
      <c r="D461" s="1730"/>
      <c r="E461" s="1314"/>
      <c r="R461" s="1315"/>
      <c r="S461" s="1315"/>
      <c r="T461" s="1315"/>
      <c r="U461" s="1315"/>
      <c r="V461" s="1315"/>
      <c r="W461" s="1315"/>
      <c r="X461" s="1315"/>
      <c r="Y461" s="1315"/>
    </row>
    <row r="462" spans="1:25" x14ac:dyDescent="0.2">
      <c r="A462" s="1730"/>
      <c r="B462" s="1730"/>
      <c r="C462" s="1730"/>
      <c r="D462" s="1730"/>
      <c r="E462" s="1314"/>
      <c r="R462" s="1315"/>
      <c r="S462" s="1315"/>
      <c r="T462" s="1315"/>
      <c r="U462" s="1315"/>
      <c r="V462" s="1315"/>
      <c r="W462" s="1315"/>
      <c r="X462" s="1315"/>
      <c r="Y462" s="1315"/>
    </row>
    <row r="463" spans="1:25" x14ac:dyDescent="0.2">
      <c r="A463" s="1730"/>
      <c r="B463" s="1730"/>
      <c r="C463" s="1730"/>
      <c r="D463" s="1730"/>
      <c r="E463" s="1314"/>
      <c r="R463" s="1315"/>
      <c r="S463" s="1315"/>
      <c r="T463" s="1315"/>
      <c r="U463" s="1315"/>
      <c r="V463" s="1315"/>
      <c r="W463" s="1315"/>
      <c r="X463" s="1315"/>
      <c r="Y463" s="1315"/>
    </row>
    <row r="464" spans="1:25" x14ac:dyDescent="0.2">
      <c r="A464" s="1730"/>
      <c r="B464" s="1730"/>
      <c r="C464" s="1730"/>
      <c r="D464" s="1730"/>
      <c r="E464" s="1314"/>
      <c r="R464" s="1315"/>
      <c r="S464" s="1315"/>
      <c r="T464" s="1315"/>
      <c r="U464" s="1315"/>
      <c r="V464" s="1315"/>
      <c r="W464" s="1315"/>
      <c r="X464" s="1315"/>
      <c r="Y464" s="1315"/>
    </row>
    <row r="465" spans="1:25" x14ac:dyDescent="0.2">
      <c r="A465" s="1730"/>
      <c r="B465" s="1730"/>
      <c r="C465" s="1730"/>
      <c r="D465" s="1730"/>
      <c r="E465" s="1314"/>
      <c r="R465" s="1315"/>
      <c r="S465" s="1315"/>
      <c r="T465" s="1315"/>
      <c r="U465" s="1315"/>
      <c r="V465" s="1315"/>
      <c r="W465" s="1315"/>
      <c r="X465" s="1315"/>
      <c r="Y465" s="1315"/>
    </row>
    <row r="466" spans="1:25" x14ac:dyDescent="0.2">
      <c r="A466" s="1730"/>
      <c r="B466" s="1730"/>
      <c r="C466" s="1730"/>
      <c r="D466" s="1730"/>
      <c r="E466" s="1314"/>
      <c r="R466" s="1315"/>
      <c r="S466" s="1315"/>
      <c r="T466" s="1315"/>
      <c r="U466" s="1315"/>
      <c r="V466" s="1315"/>
      <c r="W466" s="1315"/>
      <c r="X466" s="1315"/>
      <c r="Y466" s="1315"/>
    </row>
    <row r="467" spans="1:25" x14ac:dyDescent="0.2">
      <c r="A467" s="1730"/>
      <c r="B467" s="1730"/>
      <c r="C467" s="1730"/>
      <c r="D467" s="1730"/>
      <c r="E467" s="1314"/>
      <c r="R467" s="1315"/>
      <c r="S467" s="1315"/>
      <c r="T467" s="1315"/>
      <c r="U467" s="1315"/>
      <c r="V467" s="1315"/>
      <c r="W467" s="1315"/>
      <c r="X467" s="1315"/>
      <c r="Y467" s="1315"/>
    </row>
    <row r="468" spans="1:25" x14ac:dyDescent="0.2">
      <c r="A468" s="1730"/>
      <c r="B468" s="1730"/>
      <c r="C468" s="1730"/>
      <c r="D468" s="1730"/>
      <c r="E468" s="1314"/>
      <c r="R468" s="1315"/>
      <c r="S468" s="1315"/>
      <c r="T468" s="1315"/>
      <c r="U468" s="1315"/>
      <c r="V468" s="1315"/>
      <c r="W468" s="1315"/>
      <c r="X468" s="1315"/>
      <c r="Y468" s="1315"/>
    </row>
    <row r="469" spans="1:25" x14ac:dyDescent="0.2">
      <c r="A469" s="1730"/>
      <c r="B469" s="1730"/>
      <c r="C469" s="1730"/>
      <c r="D469" s="1730"/>
      <c r="E469" s="1314"/>
      <c r="R469" s="1315"/>
      <c r="S469" s="1315"/>
      <c r="T469" s="1315"/>
      <c r="U469" s="1315"/>
      <c r="V469" s="1315"/>
      <c r="W469" s="1315"/>
      <c r="X469" s="1315"/>
      <c r="Y469" s="1315"/>
    </row>
    <row r="470" spans="1:25" x14ac:dyDescent="0.2">
      <c r="A470" s="1730"/>
      <c r="B470" s="1730"/>
      <c r="C470" s="1730"/>
      <c r="D470" s="1730"/>
      <c r="E470" s="1314"/>
      <c r="R470" s="1315"/>
      <c r="S470" s="1315"/>
      <c r="T470" s="1315"/>
      <c r="U470" s="1315"/>
      <c r="V470" s="1315"/>
      <c r="W470" s="1315"/>
      <c r="X470" s="1315"/>
      <c r="Y470" s="1315"/>
    </row>
    <row r="471" spans="1:25" x14ac:dyDescent="0.2">
      <c r="A471" s="1730"/>
      <c r="B471" s="1730"/>
      <c r="C471" s="1730"/>
      <c r="D471" s="1730"/>
      <c r="E471" s="1314"/>
      <c r="R471" s="1315"/>
      <c r="S471" s="1315"/>
      <c r="T471" s="1315"/>
      <c r="U471" s="1315"/>
      <c r="V471" s="1315"/>
      <c r="W471" s="1315"/>
      <c r="X471" s="1315"/>
      <c r="Y471" s="1315"/>
    </row>
    <row r="472" spans="1:25" x14ac:dyDescent="0.2">
      <c r="A472" s="1730"/>
      <c r="B472" s="1730"/>
      <c r="C472" s="1730"/>
      <c r="D472" s="1730"/>
      <c r="E472" s="1314"/>
      <c r="R472" s="1315"/>
      <c r="S472" s="1315"/>
      <c r="T472" s="1315"/>
      <c r="U472" s="1315"/>
      <c r="V472" s="1315"/>
      <c r="W472" s="1315"/>
      <c r="X472" s="1315"/>
      <c r="Y472" s="1315"/>
    </row>
    <row r="473" spans="1:25" x14ac:dyDescent="0.2">
      <c r="A473" s="1730"/>
      <c r="B473" s="1730"/>
      <c r="C473" s="1730"/>
      <c r="D473" s="1730"/>
      <c r="E473" s="1314"/>
      <c r="R473" s="1315"/>
      <c r="S473" s="1315"/>
      <c r="T473" s="1315"/>
      <c r="U473" s="1315"/>
      <c r="V473" s="1315"/>
      <c r="W473" s="1315"/>
      <c r="X473" s="1315"/>
      <c r="Y473" s="1315"/>
    </row>
    <row r="474" spans="1:25" x14ac:dyDescent="0.2">
      <c r="A474" s="1730"/>
      <c r="B474" s="1730"/>
      <c r="C474" s="1730"/>
      <c r="D474" s="1730"/>
      <c r="E474" s="1314"/>
      <c r="R474" s="1315"/>
      <c r="S474" s="1315"/>
      <c r="T474" s="1315"/>
      <c r="U474" s="1315"/>
      <c r="V474" s="1315"/>
      <c r="W474" s="1315"/>
      <c r="X474" s="1315"/>
      <c r="Y474" s="1315"/>
    </row>
    <row r="475" spans="1:25" x14ac:dyDescent="0.2">
      <c r="A475" s="1730"/>
      <c r="B475" s="1730"/>
      <c r="C475" s="1730"/>
      <c r="D475" s="1730"/>
      <c r="E475" s="1314"/>
      <c r="R475" s="1315"/>
      <c r="S475" s="1315"/>
      <c r="T475" s="1315"/>
      <c r="U475" s="1315"/>
      <c r="V475" s="1315"/>
      <c r="W475" s="1315"/>
      <c r="X475" s="1315"/>
      <c r="Y475" s="1315"/>
    </row>
    <row r="476" spans="1:25" x14ac:dyDescent="0.2">
      <c r="A476" s="1730"/>
      <c r="B476" s="1730"/>
      <c r="C476" s="1730"/>
      <c r="D476" s="1730"/>
      <c r="E476" s="1314"/>
      <c r="R476" s="1315"/>
      <c r="S476" s="1315"/>
      <c r="T476" s="1315"/>
      <c r="U476" s="1315"/>
      <c r="V476" s="1315"/>
      <c r="W476" s="1315"/>
      <c r="X476" s="1315"/>
      <c r="Y476" s="1315"/>
    </row>
    <row r="477" spans="1:25" x14ac:dyDescent="0.2">
      <c r="A477" s="1730"/>
      <c r="B477" s="1730"/>
      <c r="C477" s="1730"/>
      <c r="D477" s="1730"/>
      <c r="E477" s="1314"/>
      <c r="R477" s="1315"/>
      <c r="S477" s="1315"/>
      <c r="T477" s="1315"/>
      <c r="U477" s="1315"/>
      <c r="V477" s="1315"/>
      <c r="W477" s="1315"/>
      <c r="X477" s="1315"/>
      <c r="Y477" s="1315"/>
    </row>
    <row r="478" spans="1:25" x14ac:dyDescent="0.2">
      <c r="A478" s="1730"/>
      <c r="B478" s="1730"/>
      <c r="C478" s="1730"/>
      <c r="D478" s="1730"/>
      <c r="E478" s="1314"/>
      <c r="R478" s="1315"/>
      <c r="S478" s="1315"/>
      <c r="T478" s="1315"/>
      <c r="U478" s="1315"/>
      <c r="V478" s="1315"/>
      <c r="W478" s="1315"/>
      <c r="X478" s="1315"/>
      <c r="Y478" s="1315"/>
    </row>
    <row r="479" spans="1:25" x14ac:dyDescent="0.2">
      <c r="A479" s="1730"/>
      <c r="B479" s="1730"/>
      <c r="C479" s="1730"/>
      <c r="D479" s="1730"/>
      <c r="E479" s="1314"/>
      <c r="R479" s="1315"/>
      <c r="S479" s="1315"/>
      <c r="T479" s="1315"/>
      <c r="U479" s="1315"/>
      <c r="V479" s="1315"/>
      <c r="W479" s="1315"/>
      <c r="X479" s="1315"/>
      <c r="Y479" s="1315"/>
    </row>
    <row r="480" spans="1:25" x14ac:dyDescent="0.2">
      <c r="A480" s="1730"/>
      <c r="B480" s="1730"/>
      <c r="C480" s="1730"/>
      <c r="D480" s="1730"/>
      <c r="E480" s="1314"/>
      <c r="R480" s="1315"/>
      <c r="S480" s="1315"/>
      <c r="T480" s="1315"/>
      <c r="U480" s="1315"/>
      <c r="V480" s="1315"/>
      <c r="W480" s="1315"/>
      <c r="X480" s="1315"/>
      <c r="Y480" s="1315"/>
    </row>
    <row r="481" spans="1:25" x14ac:dyDescent="0.2">
      <c r="A481" s="1730"/>
      <c r="B481" s="1730"/>
      <c r="C481" s="1730"/>
      <c r="D481" s="1730"/>
      <c r="E481" s="1314"/>
      <c r="R481" s="1315"/>
      <c r="S481" s="1315"/>
      <c r="T481" s="1315"/>
      <c r="U481" s="1315"/>
      <c r="V481" s="1315"/>
      <c r="W481" s="1315"/>
      <c r="X481" s="1315"/>
      <c r="Y481" s="1315"/>
    </row>
    <row r="482" spans="1:25" x14ac:dyDescent="0.2">
      <c r="A482" s="1730"/>
      <c r="B482" s="1730"/>
      <c r="C482" s="1730"/>
      <c r="D482" s="1730"/>
      <c r="E482" s="1314"/>
      <c r="R482" s="1315"/>
      <c r="S482" s="1315"/>
      <c r="T482" s="1315"/>
      <c r="U482" s="1315"/>
      <c r="V482" s="1315"/>
      <c r="W482" s="1315"/>
      <c r="X482" s="1315"/>
      <c r="Y482" s="1315"/>
    </row>
    <row r="483" spans="1:25" x14ac:dyDescent="0.2">
      <c r="A483" s="1730"/>
      <c r="B483" s="1730"/>
      <c r="C483" s="1730"/>
      <c r="D483" s="1730"/>
      <c r="E483" s="1314"/>
      <c r="R483" s="1315"/>
      <c r="S483" s="1315"/>
      <c r="T483" s="1315"/>
      <c r="U483" s="1315"/>
      <c r="V483" s="1315"/>
      <c r="W483" s="1315"/>
      <c r="X483" s="1315"/>
      <c r="Y483" s="1315"/>
    </row>
    <row r="484" spans="1:25" x14ac:dyDescent="0.2">
      <c r="A484" s="1730"/>
      <c r="B484" s="1730"/>
      <c r="C484" s="1730"/>
      <c r="D484" s="1730"/>
      <c r="E484" s="1314"/>
      <c r="R484" s="1315"/>
      <c r="S484" s="1315"/>
      <c r="T484" s="1315"/>
      <c r="U484" s="1315"/>
      <c r="V484" s="1315"/>
      <c r="W484" s="1315"/>
      <c r="X484" s="1315"/>
      <c r="Y484" s="1315"/>
    </row>
    <row r="485" spans="1:25" x14ac:dyDescent="0.2">
      <c r="A485" s="1730"/>
      <c r="B485" s="1730"/>
      <c r="C485" s="1730"/>
      <c r="D485" s="1730"/>
      <c r="E485" s="1314"/>
      <c r="R485" s="1315"/>
      <c r="S485" s="1315"/>
      <c r="T485" s="1315"/>
      <c r="U485" s="1315"/>
      <c r="V485" s="1315"/>
      <c r="W485" s="1315"/>
      <c r="X485" s="1315"/>
      <c r="Y485" s="1315"/>
    </row>
    <row r="486" spans="1:25" x14ac:dyDescent="0.2">
      <c r="A486" s="1730"/>
      <c r="B486" s="1730"/>
      <c r="C486" s="1730"/>
      <c r="D486" s="1730"/>
      <c r="E486" s="1314"/>
      <c r="R486" s="1315"/>
      <c r="S486" s="1315"/>
      <c r="T486" s="1315"/>
      <c r="U486" s="1315"/>
      <c r="V486" s="1315"/>
      <c r="W486" s="1315"/>
      <c r="X486" s="1315"/>
      <c r="Y486" s="1315"/>
    </row>
    <row r="487" spans="1:25" x14ac:dyDescent="0.2">
      <c r="A487" s="1730"/>
      <c r="B487" s="1730"/>
      <c r="C487" s="1730"/>
      <c r="D487" s="1730"/>
      <c r="E487" s="1314"/>
      <c r="R487" s="1315"/>
      <c r="S487" s="1315"/>
      <c r="T487" s="1315"/>
      <c r="U487" s="1315"/>
      <c r="V487" s="1315"/>
      <c r="W487" s="1315"/>
      <c r="X487" s="1315"/>
      <c r="Y487" s="1315"/>
    </row>
    <row r="488" spans="1:25" x14ac:dyDescent="0.2">
      <c r="A488" s="1730"/>
      <c r="B488" s="1730"/>
      <c r="C488" s="1730"/>
      <c r="D488" s="1730"/>
      <c r="E488" s="1314"/>
      <c r="R488" s="1315"/>
      <c r="S488" s="1315"/>
      <c r="T488" s="1315"/>
      <c r="U488" s="1315"/>
      <c r="V488" s="1315"/>
      <c r="W488" s="1315"/>
      <c r="X488" s="1315"/>
      <c r="Y488" s="1315"/>
    </row>
    <row r="489" spans="1:25" x14ac:dyDescent="0.2">
      <c r="A489" s="1730"/>
      <c r="B489" s="1730"/>
      <c r="C489" s="1730"/>
      <c r="D489" s="1730"/>
      <c r="E489" s="1314"/>
      <c r="R489" s="1315"/>
      <c r="S489" s="1315"/>
      <c r="T489" s="1315"/>
      <c r="U489" s="1315"/>
      <c r="V489" s="1315"/>
      <c r="W489" s="1315"/>
      <c r="X489" s="1315"/>
      <c r="Y489" s="1315"/>
    </row>
    <row r="490" spans="1:25" x14ac:dyDescent="0.2">
      <c r="A490" s="1730"/>
      <c r="B490" s="1730"/>
      <c r="C490" s="1730"/>
      <c r="D490" s="1730"/>
      <c r="E490" s="1314"/>
      <c r="R490" s="1315"/>
      <c r="S490" s="1315"/>
      <c r="T490" s="1315"/>
      <c r="U490" s="1315"/>
      <c r="V490" s="1315"/>
      <c r="W490" s="1315"/>
      <c r="X490" s="1315"/>
      <c r="Y490" s="1315"/>
    </row>
    <row r="491" spans="1:25" x14ac:dyDescent="0.2">
      <c r="A491" s="1730"/>
      <c r="B491" s="1730"/>
      <c r="C491" s="1730"/>
      <c r="D491" s="1730"/>
      <c r="E491" s="1314"/>
      <c r="R491" s="1315"/>
      <c r="S491" s="1315"/>
      <c r="T491" s="1315"/>
      <c r="U491" s="1315"/>
      <c r="V491" s="1315"/>
      <c r="W491" s="1315"/>
      <c r="X491" s="1315"/>
      <c r="Y491" s="1315"/>
    </row>
    <row r="492" spans="1:25" x14ac:dyDescent="0.2">
      <c r="A492" s="1730"/>
      <c r="B492" s="1730"/>
      <c r="C492" s="1730"/>
      <c r="D492" s="1730"/>
      <c r="E492" s="1314"/>
      <c r="R492" s="1315"/>
      <c r="S492" s="1315"/>
      <c r="T492" s="1315"/>
      <c r="U492" s="1315"/>
      <c r="V492" s="1315"/>
      <c r="W492" s="1315"/>
      <c r="X492" s="1315"/>
      <c r="Y492" s="1315"/>
    </row>
    <row r="493" spans="1:25" x14ac:dyDescent="0.2">
      <c r="A493" s="1730"/>
      <c r="B493" s="1730"/>
      <c r="C493" s="1730"/>
      <c r="D493" s="1730"/>
      <c r="E493" s="1314"/>
      <c r="R493" s="1315"/>
      <c r="S493" s="1315"/>
      <c r="T493" s="1315"/>
      <c r="U493" s="1315"/>
      <c r="V493" s="1315"/>
      <c r="W493" s="1315"/>
      <c r="X493" s="1315"/>
      <c r="Y493" s="1315"/>
    </row>
    <row r="494" spans="1:25" x14ac:dyDescent="0.2">
      <c r="A494" s="1730"/>
      <c r="B494" s="1730"/>
      <c r="C494" s="1730"/>
      <c r="D494" s="1730"/>
      <c r="E494" s="1314"/>
      <c r="R494" s="1315"/>
      <c r="S494" s="1315"/>
      <c r="T494" s="1315"/>
      <c r="U494" s="1315"/>
      <c r="V494" s="1315"/>
      <c r="W494" s="1315"/>
      <c r="X494" s="1315"/>
      <c r="Y494" s="1315"/>
    </row>
    <row r="495" spans="1:25" x14ac:dyDescent="0.2">
      <c r="A495" s="1730"/>
      <c r="B495" s="1730"/>
      <c r="C495" s="1730"/>
      <c r="D495" s="1730"/>
      <c r="E495" s="1314"/>
      <c r="R495" s="1315"/>
      <c r="S495" s="1315"/>
      <c r="T495" s="1315"/>
      <c r="U495" s="1315"/>
      <c r="V495" s="1315"/>
      <c r="W495" s="1315"/>
      <c r="X495" s="1315"/>
      <c r="Y495" s="1315"/>
    </row>
    <row r="496" spans="1:25" x14ac:dyDescent="0.2">
      <c r="A496" s="1730"/>
      <c r="B496" s="1730"/>
      <c r="C496" s="1730"/>
      <c r="D496" s="1730"/>
      <c r="E496" s="1314"/>
      <c r="R496" s="1315"/>
      <c r="S496" s="1315"/>
      <c r="T496" s="1315"/>
      <c r="U496" s="1315"/>
      <c r="V496" s="1315"/>
      <c r="W496" s="1315"/>
      <c r="X496" s="1315"/>
      <c r="Y496" s="1315"/>
    </row>
    <row r="497" spans="1:25" x14ac:dyDescent="0.2">
      <c r="A497" s="1730"/>
      <c r="B497" s="1730"/>
      <c r="C497" s="1730"/>
      <c r="D497" s="1730"/>
      <c r="E497" s="1314"/>
      <c r="R497" s="1315"/>
      <c r="S497" s="1315"/>
      <c r="T497" s="1315"/>
      <c r="U497" s="1315"/>
      <c r="V497" s="1315"/>
      <c r="W497" s="1315"/>
      <c r="X497" s="1315"/>
      <c r="Y497" s="1315"/>
    </row>
    <row r="498" spans="1:25" x14ac:dyDescent="0.2">
      <c r="A498" s="1730"/>
      <c r="B498" s="1730"/>
      <c r="C498" s="1730"/>
      <c r="D498" s="1730"/>
      <c r="E498" s="1314"/>
      <c r="R498" s="1315"/>
      <c r="S498" s="1315"/>
      <c r="T498" s="1315"/>
      <c r="U498" s="1315"/>
      <c r="V498" s="1315"/>
      <c r="W498" s="1315"/>
      <c r="X498" s="1315"/>
      <c r="Y498" s="1315"/>
    </row>
    <row r="499" spans="1:25" x14ac:dyDescent="0.2">
      <c r="A499" s="1730"/>
      <c r="B499" s="1730"/>
      <c r="C499" s="1730"/>
      <c r="D499" s="1730"/>
      <c r="E499" s="1314"/>
      <c r="R499" s="1315"/>
      <c r="S499" s="1315"/>
      <c r="T499" s="1315"/>
      <c r="U499" s="1315"/>
      <c r="V499" s="1315"/>
      <c r="W499" s="1315"/>
      <c r="X499" s="1315"/>
      <c r="Y499" s="1315"/>
    </row>
    <row r="500" spans="1:25" x14ac:dyDescent="0.2">
      <c r="A500" s="1730"/>
      <c r="B500" s="1730"/>
      <c r="C500" s="1730"/>
      <c r="D500" s="1730"/>
      <c r="E500" s="1314"/>
      <c r="R500" s="1315"/>
      <c r="S500" s="1315"/>
      <c r="T500" s="1315"/>
      <c r="U500" s="1315"/>
      <c r="V500" s="1315"/>
      <c r="W500" s="1315"/>
      <c r="X500" s="1315"/>
      <c r="Y500" s="1315"/>
    </row>
    <row r="501" spans="1:25" x14ac:dyDescent="0.2">
      <c r="A501" s="1730"/>
      <c r="B501" s="1730"/>
      <c r="C501" s="1730"/>
      <c r="D501" s="1730"/>
      <c r="E501" s="1314"/>
      <c r="R501" s="1315"/>
      <c r="S501" s="1315"/>
      <c r="T501" s="1315"/>
      <c r="U501" s="1315"/>
      <c r="V501" s="1315"/>
      <c r="W501" s="1315"/>
      <c r="X501" s="1315"/>
      <c r="Y501" s="1315"/>
    </row>
    <row r="502" spans="1:25" x14ac:dyDescent="0.2">
      <c r="A502" s="1730"/>
      <c r="B502" s="1730"/>
      <c r="C502" s="1730"/>
      <c r="D502" s="1730"/>
      <c r="E502" s="1314"/>
      <c r="R502" s="1315"/>
      <c r="S502" s="1315"/>
      <c r="T502" s="1315"/>
      <c r="U502" s="1315"/>
      <c r="V502" s="1315"/>
      <c r="W502" s="1315"/>
      <c r="X502" s="1315"/>
      <c r="Y502" s="1315"/>
    </row>
    <row r="503" spans="1:25" x14ac:dyDescent="0.2">
      <c r="A503" s="1730"/>
      <c r="B503" s="1730"/>
      <c r="C503" s="1730"/>
      <c r="D503" s="1730"/>
      <c r="E503" s="1314"/>
      <c r="R503" s="1315"/>
      <c r="S503" s="1315"/>
      <c r="T503" s="1315"/>
      <c r="U503" s="1315"/>
      <c r="V503" s="1315"/>
      <c r="W503" s="1315"/>
      <c r="X503" s="1315"/>
      <c r="Y503" s="1315"/>
    </row>
    <row r="504" spans="1:25" x14ac:dyDescent="0.2">
      <c r="A504" s="1730"/>
      <c r="B504" s="1730"/>
      <c r="C504" s="1730"/>
      <c r="D504" s="1730"/>
      <c r="E504" s="1314"/>
      <c r="R504" s="1315"/>
      <c r="S504" s="1315"/>
      <c r="T504" s="1315"/>
      <c r="U504" s="1315"/>
      <c r="V504" s="1315"/>
      <c r="W504" s="1315"/>
      <c r="X504" s="1315"/>
      <c r="Y504" s="1315"/>
    </row>
    <row r="505" spans="1:25" x14ac:dyDescent="0.2">
      <c r="A505" s="1730"/>
      <c r="B505" s="1730"/>
      <c r="C505" s="1730"/>
      <c r="D505" s="1730"/>
      <c r="E505" s="1314"/>
      <c r="R505" s="1315"/>
      <c r="S505" s="1315"/>
      <c r="T505" s="1315"/>
      <c r="U505" s="1315"/>
      <c r="V505" s="1315"/>
      <c r="W505" s="1315"/>
      <c r="X505" s="1315"/>
      <c r="Y505" s="1315"/>
    </row>
    <row r="506" spans="1:25" x14ac:dyDescent="0.2">
      <c r="A506" s="1730"/>
      <c r="B506" s="1730"/>
      <c r="C506" s="1730"/>
      <c r="D506" s="1730"/>
      <c r="E506" s="1314"/>
      <c r="R506" s="1315"/>
      <c r="S506" s="1315"/>
      <c r="T506" s="1315"/>
      <c r="U506" s="1315"/>
      <c r="V506" s="1315"/>
      <c r="W506" s="1315"/>
      <c r="X506" s="1315"/>
      <c r="Y506" s="1315"/>
    </row>
    <row r="507" spans="1:25" x14ac:dyDescent="0.2">
      <c r="A507" s="1730"/>
      <c r="B507" s="1730"/>
      <c r="C507" s="1730"/>
      <c r="D507" s="1730"/>
      <c r="E507" s="1314"/>
      <c r="R507" s="1315"/>
      <c r="S507" s="1315"/>
      <c r="T507" s="1315"/>
      <c r="U507" s="1315"/>
      <c r="V507" s="1315"/>
      <c r="W507" s="1315"/>
      <c r="X507" s="1315"/>
      <c r="Y507" s="1315"/>
    </row>
    <row r="508" spans="1:25" x14ac:dyDescent="0.2">
      <c r="A508" s="1730"/>
      <c r="B508" s="1730"/>
      <c r="C508" s="1730"/>
      <c r="D508" s="1730"/>
      <c r="E508" s="1314"/>
      <c r="R508" s="1315"/>
      <c r="S508" s="1315"/>
      <c r="T508" s="1315"/>
      <c r="U508" s="1315"/>
      <c r="V508" s="1315"/>
      <c r="W508" s="1315"/>
      <c r="X508" s="1315"/>
      <c r="Y508" s="1315"/>
    </row>
    <row r="509" spans="1:25" x14ac:dyDescent="0.2">
      <c r="A509" s="1730"/>
      <c r="B509" s="1730"/>
      <c r="C509" s="1730"/>
      <c r="D509" s="1730"/>
      <c r="E509" s="1314"/>
      <c r="R509" s="1315"/>
      <c r="S509" s="1315"/>
      <c r="T509" s="1315"/>
      <c r="U509" s="1315"/>
      <c r="V509" s="1315"/>
      <c r="W509" s="1315"/>
      <c r="X509" s="1315"/>
      <c r="Y509" s="1315"/>
    </row>
    <row r="510" spans="1:25" x14ac:dyDescent="0.2">
      <c r="A510" s="1730"/>
      <c r="B510" s="1730"/>
      <c r="C510" s="1730"/>
      <c r="D510" s="1730"/>
      <c r="E510" s="1314"/>
      <c r="R510" s="1315"/>
      <c r="S510" s="1315"/>
      <c r="T510" s="1315"/>
      <c r="U510" s="1315"/>
      <c r="V510" s="1315"/>
      <c r="W510" s="1315"/>
      <c r="X510" s="1315"/>
      <c r="Y510" s="1315"/>
    </row>
    <row r="511" spans="1:25" x14ac:dyDescent="0.2">
      <c r="A511" s="1730"/>
      <c r="B511" s="1730"/>
      <c r="C511" s="1730"/>
      <c r="D511" s="1730"/>
      <c r="E511" s="1314"/>
      <c r="R511" s="1315"/>
      <c r="S511" s="1315"/>
      <c r="T511" s="1315"/>
      <c r="U511" s="1315"/>
      <c r="V511" s="1315"/>
      <c r="W511" s="1315"/>
      <c r="X511" s="1315"/>
      <c r="Y511" s="1315"/>
    </row>
    <row r="512" spans="1:25" x14ac:dyDescent="0.2">
      <c r="A512" s="1730"/>
      <c r="B512" s="1730"/>
      <c r="C512" s="1730"/>
      <c r="D512" s="1730"/>
      <c r="E512" s="1314"/>
      <c r="R512" s="1315"/>
      <c r="S512" s="1315"/>
      <c r="T512" s="1315"/>
      <c r="U512" s="1315"/>
      <c r="V512" s="1315"/>
      <c r="W512" s="1315"/>
      <c r="X512" s="1315"/>
      <c r="Y512" s="1315"/>
    </row>
    <row r="513" spans="1:25" x14ac:dyDescent="0.2">
      <c r="A513" s="1730"/>
      <c r="B513" s="1730"/>
      <c r="C513" s="1730"/>
      <c r="D513" s="1730"/>
      <c r="E513" s="1314"/>
      <c r="R513" s="1315"/>
      <c r="S513" s="1315"/>
      <c r="T513" s="1315"/>
      <c r="U513" s="1315"/>
      <c r="V513" s="1315"/>
      <c r="W513" s="1315"/>
      <c r="X513" s="1315"/>
      <c r="Y513" s="1315"/>
    </row>
    <row r="514" spans="1:25" x14ac:dyDescent="0.2">
      <c r="A514" s="1730"/>
      <c r="B514" s="1730"/>
      <c r="C514" s="1730"/>
      <c r="D514" s="1730"/>
      <c r="E514" s="1314"/>
      <c r="R514" s="1315"/>
      <c r="S514" s="1315"/>
      <c r="T514" s="1315"/>
      <c r="U514" s="1315"/>
      <c r="V514" s="1315"/>
      <c r="W514" s="1315"/>
      <c r="X514" s="1315"/>
      <c r="Y514" s="1315"/>
    </row>
    <row r="515" spans="1:25" x14ac:dyDescent="0.2">
      <c r="A515" s="1730"/>
      <c r="B515" s="1730"/>
      <c r="C515" s="1730"/>
      <c r="D515" s="1730"/>
      <c r="E515" s="1314"/>
      <c r="R515" s="1315"/>
      <c r="S515" s="1315"/>
      <c r="T515" s="1315"/>
      <c r="U515" s="1315"/>
      <c r="V515" s="1315"/>
      <c r="W515" s="1315"/>
      <c r="X515" s="1315"/>
      <c r="Y515" s="1315"/>
    </row>
    <row r="516" spans="1:25" x14ac:dyDescent="0.2">
      <c r="A516" s="1730"/>
      <c r="B516" s="1730"/>
      <c r="C516" s="1730"/>
      <c r="D516" s="1730"/>
      <c r="E516" s="1314"/>
      <c r="R516" s="1315"/>
      <c r="S516" s="1315"/>
      <c r="T516" s="1315"/>
      <c r="U516" s="1315"/>
      <c r="V516" s="1315"/>
      <c r="W516" s="1315"/>
      <c r="X516" s="1315"/>
      <c r="Y516" s="1315"/>
    </row>
    <row r="517" spans="1:25" x14ac:dyDescent="0.2">
      <c r="A517" s="1730"/>
      <c r="B517" s="1730"/>
      <c r="C517" s="1730"/>
      <c r="D517" s="1730"/>
      <c r="E517" s="1314"/>
      <c r="R517" s="1315"/>
      <c r="S517" s="1315"/>
      <c r="T517" s="1315"/>
      <c r="U517" s="1315"/>
      <c r="V517" s="1315"/>
      <c r="W517" s="1315"/>
      <c r="X517" s="1315"/>
      <c r="Y517" s="1315"/>
    </row>
    <row r="518" spans="1:25" x14ac:dyDescent="0.2">
      <c r="A518" s="1730"/>
      <c r="B518" s="1730"/>
      <c r="C518" s="1730"/>
      <c r="D518" s="1730"/>
      <c r="E518" s="1314"/>
      <c r="R518" s="1315"/>
      <c r="S518" s="1315"/>
      <c r="T518" s="1315"/>
      <c r="U518" s="1315"/>
      <c r="V518" s="1315"/>
      <c r="W518" s="1315"/>
      <c r="X518" s="1315"/>
      <c r="Y518" s="1315"/>
    </row>
    <row r="519" spans="1:25" x14ac:dyDescent="0.2">
      <c r="A519" s="1730"/>
      <c r="B519" s="1730"/>
      <c r="C519" s="1730"/>
      <c r="D519" s="1730"/>
      <c r="E519" s="1314"/>
      <c r="R519" s="1315"/>
      <c r="S519" s="1315"/>
      <c r="T519" s="1315"/>
      <c r="U519" s="1315"/>
      <c r="V519" s="1315"/>
      <c r="W519" s="1315"/>
      <c r="X519" s="1315"/>
      <c r="Y519" s="1315"/>
    </row>
    <row r="520" spans="1:25" x14ac:dyDescent="0.2">
      <c r="A520" s="1730"/>
      <c r="B520" s="1730"/>
      <c r="C520" s="1730"/>
      <c r="D520" s="1730"/>
      <c r="E520" s="1314"/>
      <c r="R520" s="1315"/>
      <c r="S520" s="1315"/>
      <c r="T520" s="1315"/>
      <c r="U520" s="1315"/>
      <c r="V520" s="1315"/>
      <c r="W520" s="1315"/>
      <c r="X520" s="1315"/>
      <c r="Y520" s="1315"/>
    </row>
    <row r="521" spans="1:25" x14ac:dyDescent="0.2">
      <c r="A521" s="1730"/>
      <c r="B521" s="1730"/>
      <c r="C521" s="1730"/>
      <c r="D521" s="1730"/>
      <c r="E521" s="1314"/>
      <c r="R521" s="1315"/>
      <c r="S521" s="1315"/>
      <c r="T521" s="1315"/>
      <c r="U521" s="1315"/>
      <c r="V521" s="1315"/>
      <c r="W521" s="1315"/>
      <c r="X521" s="1315"/>
      <c r="Y521" s="1315"/>
    </row>
    <row r="522" spans="1:25" x14ac:dyDescent="0.2">
      <c r="A522" s="1730"/>
      <c r="B522" s="1730"/>
      <c r="C522" s="1730"/>
      <c r="D522" s="1730"/>
      <c r="E522" s="1314"/>
      <c r="R522" s="1315"/>
      <c r="S522" s="1315"/>
      <c r="T522" s="1315"/>
      <c r="U522" s="1315"/>
      <c r="V522" s="1315"/>
      <c r="W522" s="1315"/>
      <c r="X522" s="1315"/>
      <c r="Y522" s="1315"/>
    </row>
    <row r="523" spans="1:25" x14ac:dyDescent="0.2">
      <c r="A523" s="1730"/>
      <c r="B523" s="1730"/>
      <c r="C523" s="1730"/>
      <c r="D523" s="1730"/>
      <c r="E523" s="1314"/>
      <c r="R523" s="1315"/>
      <c r="S523" s="1315"/>
      <c r="T523" s="1315"/>
      <c r="U523" s="1315"/>
      <c r="V523" s="1315"/>
      <c r="W523" s="1315"/>
      <c r="X523" s="1315"/>
      <c r="Y523" s="1315"/>
    </row>
    <row r="524" spans="1:25" x14ac:dyDescent="0.2">
      <c r="A524" s="1730"/>
      <c r="B524" s="1730"/>
      <c r="C524" s="1730"/>
      <c r="D524" s="1730"/>
      <c r="E524" s="1314"/>
      <c r="R524" s="1315"/>
      <c r="S524" s="1315"/>
      <c r="T524" s="1315"/>
      <c r="U524" s="1315"/>
      <c r="V524" s="1315"/>
      <c r="W524" s="1315"/>
      <c r="X524" s="1315"/>
      <c r="Y524" s="1315"/>
    </row>
    <row r="525" spans="1:25" x14ac:dyDescent="0.2">
      <c r="A525" s="1730"/>
      <c r="B525" s="1730"/>
      <c r="C525" s="1730"/>
      <c r="D525" s="1730"/>
      <c r="E525" s="1314"/>
      <c r="R525" s="1315"/>
      <c r="S525" s="1315"/>
      <c r="T525" s="1315"/>
      <c r="U525" s="1315"/>
      <c r="V525" s="1315"/>
      <c r="W525" s="1315"/>
      <c r="X525" s="1315"/>
      <c r="Y525" s="1315"/>
    </row>
    <row r="526" spans="1:25" x14ac:dyDescent="0.2">
      <c r="A526" s="1730"/>
      <c r="B526" s="1730"/>
      <c r="C526" s="1730"/>
      <c r="D526" s="1730"/>
      <c r="E526" s="1314"/>
      <c r="R526" s="1315"/>
      <c r="S526" s="1315"/>
      <c r="T526" s="1315"/>
      <c r="U526" s="1315"/>
      <c r="V526" s="1315"/>
      <c r="W526" s="1315"/>
      <c r="X526" s="1315"/>
      <c r="Y526" s="1315"/>
    </row>
    <row r="527" spans="1:25" x14ac:dyDescent="0.2">
      <c r="A527" s="1730"/>
      <c r="B527" s="1730"/>
      <c r="C527" s="1730"/>
      <c r="D527" s="1730"/>
      <c r="E527" s="1314"/>
      <c r="R527" s="1315"/>
      <c r="S527" s="1315"/>
      <c r="T527" s="1315"/>
      <c r="U527" s="1315"/>
      <c r="V527" s="1315"/>
      <c r="W527" s="1315"/>
      <c r="X527" s="1315"/>
      <c r="Y527" s="1315"/>
    </row>
    <row r="528" spans="1:25" x14ac:dyDescent="0.2">
      <c r="A528" s="1730"/>
      <c r="B528" s="1730"/>
      <c r="C528" s="1730"/>
      <c r="D528" s="1730"/>
      <c r="E528" s="1314"/>
      <c r="R528" s="1315"/>
      <c r="S528" s="1315"/>
      <c r="T528" s="1315"/>
      <c r="U528" s="1315"/>
      <c r="V528" s="1315"/>
      <c r="W528" s="1315"/>
      <c r="X528" s="1315"/>
      <c r="Y528" s="1315"/>
    </row>
    <row r="529" spans="1:25" x14ac:dyDescent="0.2">
      <c r="A529" s="1730"/>
      <c r="B529" s="1730"/>
      <c r="C529" s="1730"/>
      <c r="D529" s="1730"/>
      <c r="E529" s="1314"/>
      <c r="R529" s="1315"/>
      <c r="S529" s="1315"/>
      <c r="T529" s="1315"/>
      <c r="U529" s="1315"/>
      <c r="V529" s="1315"/>
      <c r="W529" s="1315"/>
      <c r="X529" s="1315"/>
      <c r="Y529" s="1315"/>
    </row>
    <row r="530" spans="1:25" x14ac:dyDescent="0.2">
      <c r="A530" s="1730"/>
      <c r="B530" s="1730"/>
      <c r="C530" s="1730"/>
      <c r="D530" s="1730"/>
      <c r="E530" s="1314"/>
      <c r="R530" s="1315"/>
      <c r="S530" s="1315"/>
      <c r="T530" s="1315"/>
      <c r="U530" s="1315"/>
      <c r="V530" s="1315"/>
      <c r="W530" s="1315"/>
      <c r="X530" s="1315"/>
      <c r="Y530" s="1315"/>
    </row>
    <row r="531" spans="1:25" x14ac:dyDescent="0.2">
      <c r="A531" s="1730"/>
      <c r="B531" s="1730"/>
      <c r="C531" s="1730"/>
      <c r="D531" s="1730"/>
      <c r="E531" s="1314"/>
      <c r="R531" s="1315"/>
      <c r="S531" s="1315"/>
      <c r="T531" s="1315"/>
      <c r="U531" s="1315"/>
      <c r="V531" s="1315"/>
      <c r="W531" s="1315"/>
      <c r="X531" s="1315"/>
      <c r="Y531" s="1315"/>
    </row>
    <row r="532" spans="1:25" x14ac:dyDescent="0.2">
      <c r="A532" s="1730"/>
      <c r="B532" s="1730"/>
      <c r="C532" s="1730"/>
      <c r="D532" s="1730"/>
      <c r="E532" s="1314"/>
      <c r="R532" s="1315"/>
      <c r="S532" s="1315"/>
      <c r="T532" s="1315"/>
      <c r="U532" s="1315"/>
      <c r="V532" s="1315"/>
      <c r="W532" s="1315"/>
      <c r="X532" s="1315"/>
      <c r="Y532" s="1315"/>
    </row>
    <row r="533" spans="1:25" x14ac:dyDescent="0.2">
      <c r="A533" s="1730"/>
      <c r="B533" s="1730"/>
      <c r="C533" s="1730"/>
      <c r="D533" s="1730"/>
      <c r="E533" s="1314"/>
      <c r="R533" s="1315"/>
      <c r="S533" s="1315"/>
      <c r="T533" s="1315"/>
      <c r="U533" s="1315"/>
      <c r="V533" s="1315"/>
      <c r="W533" s="1315"/>
      <c r="X533" s="1315"/>
      <c r="Y533" s="1315"/>
    </row>
    <row r="534" spans="1:25" x14ac:dyDescent="0.2">
      <c r="A534" s="1730"/>
      <c r="B534" s="1730"/>
      <c r="C534" s="1730"/>
      <c r="D534" s="1730"/>
      <c r="E534" s="1314"/>
      <c r="R534" s="1315"/>
      <c r="S534" s="1315"/>
      <c r="T534" s="1315"/>
      <c r="U534" s="1315"/>
      <c r="V534" s="1315"/>
      <c r="W534" s="1315"/>
      <c r="X534" s="1315"/>
      <c r="Y534" s="1315"/>
    </row>
    <row r="535" spans="1:25" x14ac:dyDescent="0.2">
      <c r="A535" s="1730"/>
      <c r="B535" s="1730"/>
      <c r="C535" s="1730"/>
      <c r="D535" s="1730"/>
      <c r="E535" s="1314"/>
      <c r="R535" s="1315"/>
      <c r="S535" s="1315"/>
      <c r="T535" s="1315"/>
      <c r="U535" s="1315"/>
      <c r="V535" s="1315"/>
      <c r="W535" s="1315"/>
      <c r="X535" s="1315"/>
      <c r="Y535" s="1315"/>
    </row>
    <row r="536" spans="1:25" x14ac:dyDescent="0.2">
      <c r="A536" s="1730"/>
      <c r="B536" s="1730"/>
      <c r="C536" s="1730"/>
      <c r="D536" s="1730"/>
      <c r="E536" s="1314"/>
      <c r="R536" s="1315"/>
      <c r="S536" s="1315"/>
      <c r="T536" s="1315"/>
      <c r="U536" s="1315"/>
      <c r="V536" s="1315"/>
      <c r="W536" s="1315"/>
      <c r="X536" s="1315"/>
      <c r="Y536" s="1315"/>
    </row>
    <row r="537" spans="1:25" x14ac:dyDescent="0.2">
      <c r="A537" s="1730"/>
      <c r="B537" s="1730"/>
      <c r="C537" s="1730"/>
      <c r="D537" s="1730"/>
      <c r="E537" s="1314"/>
      <c r="R537" s="1315"/>
      <c r="S537" s="1315"/>
      <c r="T537" s="1315"/>
      <c r="U537" s="1315"/>
      <c r="V537" s="1315"/>
      <c r="W537" s="1315"/>
      <c r="X537" s="1315"/>
      <c r="Y537" s="1315"/>
    </row>
    <row r="538" spans="1:25" x14ac:dyDescent="0.2">
      <c r="A538" s="1730"/>
      <c r="B538" s="1730"/>
      <c r="C538" s="1730"/>
      <c r="D538" s="1730"/>
      <c r="E538" s="1314"/>
      <c r="R538" s="1315"/>
      <c r="S538" s="1315"/>
      <c r="T538" s="1315"/>
      <c r="U538" s="1315"/>
      <c r="V538" s="1315"/>
      <c r="W538" s="1315"/>
      <c r="X538" s="1315"/>
      <c r="Y538" s="1315"/>
    </row>
    <row r="539" spans="1:25" x14ac:dyDescent="0.2">
      <c r="A539" s="1730"/>
      <c r="B539" s="1730"/>
      <c r="C539" s="1730"/>
      <c r="D539" s="1730"/>
      <c r="E539" s="1314"/>
      <c r="R539" s="1315"/>
      <c r="S539" s="1315"/>
      <c r="T539" s="1315"/>
      <c r="U539" s="1315"/>
      <c r="V539" s="1315"/>
      <c r="W539" s="1315"/>
      <c r="X539" s="1315"/>
      <c r="Y539" s="1315"/>
    </row>
    <row r="540" spans="1:25" x14ac:dyDescent="0.2">
      <c r="A540" s="1730"/>
      <c r="B540" s="1730"/>
      <c r="C540" s="1730"/>
      <c r="D540" s="1730"/>
      <c r="E540" s="1314"/>
      <c r="R540" s="1315"/>
      <c r="S540" s="1315"/>
      <c r="T540" s="1315"/>
      <c r="U540" s="1315"/>
      <c r="V540" s="1315"/>
      <c r="W540" s="1315"/>
      <c r="X540" s="1315"/>
      <c r="Y540" s="1315"/>
    </row>
    <row r="541" spans="1:25" x14ac:dyDescent="0.2">
      <c r="A541" s="1730"/>
      <c r="B541" s="1730"/>
      <c r="C541" s="1730"/>
      <c r="D541" s="1730"/>
      <c r="E541" s="1314"/>
      <c r="R541" s="1315"/>
      <c r="S541" s="1315"/>
      <c r="T541" s="1315"/>
      <c r="U541" s="1315"/>
      <c r="V541" s="1315"/>
      <c r="W541" s="1315"/>
      <c r="X541" s="1315"/>
      <c r="Y541" s="1315"/>
    </row>
    <row r="542" spans="1:25" x14ac:dyDescent="0.2">
      <c r="A542" s="1730"/>
      <c r="B542" s="1730"/>
      <c r="C542" s="1730"/>
      <c r="D542" s="1730"/>
      <c r="E542" s="1314"/>
      <c r="R542" s="1315"/>
      <c r="S542" s="1315"/>
      <c r="T542" s="1315"/>
      <c r="U542" s="1315"/>
      <c r="V542" s="1315"/>
      <c r="W542" s="1315"/>
      <c r="X542" s="1315"/>
      <c r="Y542" s="1315"/>
    </row>
    <row r="543" spans="1:25" x14ac:dyDescent="0.2">
      <c r="A543" s="1730"/>
      <c r="B543" s="1730"/>
      <c r="C543" s="1730"/>
      <c r="D543" s="1730"/>
      <c r="E543" s="1314"/>
      <c r="R543" s="1315"/>
      <c r="S543" s="1315"/>
      <c r="T543" s="1315"/>
      <c r="U543" s="1315"/>
      <c r="V543" s="1315"/>
      <c r="W543" s="1315"/>
      <c r="X543" s="1315"/>
      <c r="Y543" s="1315"/>
    </row>
    <row r="544" spans="1:25" x14ac:dyDescent="0.2">
      <c r="A544" s="1730"/>
      <c r="B544" s="1730"/>
      <c r="C544" s="1730"/>
      <c r="D544" s="1730"/>
      <c r="E544" s="1314"/>
      <c r="R544" s="1315"/>
      <c r="S544" s="1315"/>
      <c r="T544" s="1315"/>
      <c r="U544" s="1315"/>
      <c r="V544" s="1315"/>
      <c r="W544" s="1315"/>
      <c r="X544" s="1315"/>
      <c r="Y544" s="1315"/>
    </row>
    <row r="545" spans="1:25" x14ac:dyDescent="0.2">
      <c r="A545" s="1730"/>
      <c r="B545" s="1730"/>
      <c r="C545" s="1730"/>
      <c r="D545" s="1730"/>
      <c r="E545" s="1314"/>
      <c r="R545" s="1315"/>
      <c r="S545" s="1315"/>
      <c r="T545" s="1315"/>
      <c r="U545" s="1315"/>
      <c r="V545" s="1315"/>
      <c r="W545" s="1315"/>
      <c r="X545" s="1315"/>
      <c r="Y545" s="1315"/>
    </row>
    <row r="546" spans="1:25" x14ac:dyDescent="0.2">
      <c r="A546" s="1730"/>
      <c r="B546" s="1730"/>
      <c r="C546" s="1730"/>
      <c r="D546" s="1730"/>
      <c r="E546" s="1314"/>
      <c r="R546" s="1315"/>
      <c r="S546" s="1315"/>
      <c r="T546" s="1315"/>
      <c r="U546" s="1315"/>
      <c r="V546" s="1315"/>
      <c r="W546" s="1315"/>
      <c r="X546" s="1315"/>
      <c r="Y546" s="1315"/>
    </row>
    <row r="547" spans="1:25" x14ac:dyDescent="0.2">
      <c r="A547" s="1730"/>
      <c r="B547" s="1730"/>
      <c r="C547" s="1730"/>
      <c r="D547" s="1730"/>
      <c r="E547" s="1314"/>
      <c r="R547" s="1315"/>
      <c r="S547" s="1315"/>
      <c r="T547" s="1315"/>
      <c r="U547" s="1315"/>
      <c r="V547" s="1315"/>
      <c r="W547" s="1315"/>
      <c r="X547" s="1315"/>
      <c r="Y547" s="1315"/>
    </row>
    <row r="548" spans="1:25" x14ac:dyDescent="0.2">
      <c r="A548" s="1730"/>
      <c r="B548" s="1730"/>
      <c r="C548" s="1730"/>
      <c r="D548" s="1730"/>
      <c r="E548" s="1314"/>
      <c r="R548" s="1315"/>
      <c r="S548" s="1315"/>
      <c r="T548" s="1315"/>
      <c r="U548" s="1315"/>
      <c r="V548" s="1315"/>
      <c r="W548" s="1315"/>
      <c r="X548" s="1315"/>
      <c r="Y548" s="1315"/>
    </row>
    <row r="549" spans="1:25" x14ac:dyDescent="0.2">
      <c r="A549" s="1730"/>
      <c r="B549" s="1730"/>
      <c r="C549" s="1730"/>
      <c r="D549" s="1730"/>
      <c r="E549" s="1314"/>
      <c r="R549" s="1315"/>
      <c r="S549" s="1315"/>
      <c r="T549" s="1315"/>
      <c r="U549" s="1315"/>
      <c r="V549" s="1315"/>
      <c r="W549" s="1315"/>
      <c r="X549" s="1315"/>
      <c r="Y549" s="1315"/>
    </row>
    <row r="550" spans="1:25" x14ac:dyDescent="0.2">
      <c r="A550" s="1730"/>
      <c r="B550" s="1730"/>
      <c r="C550" s="1730"/>
      <c r="D550" s="1730"/>
      <c r="E550" s="1314"/>
      <c r="R550" s="1315"/>
      <c r="S550" s="1315"/>
      <c r="T550" s="1315"/>
      <c r="U550" s="1315"/>
      <c r="V550" s="1315"/>
      <c r="W550" s="1315"/>
      <c r="X550" s="1315"/>
      <c r="Y550" s="1315"/>
    </row>
    <row r="551" spans="1:25" x14ac:dyDescent="0.2">
      <c r="A551" s="1730"/>
      <c r="B551" s="1730"/>
      <c r="C551" s="1730"/>
      <c r="D551" s="1730"/>
      <c r="E551" s="1314"/>
      <c r="R551" s="1315"/>
      <c r="S551" s="1315"/>
      <c r="T551" s="1315"/>
      <c r="U551" s="1315"/>
      <c r="V551" s="1315"/>
      <c r="W551" s="1315"/>
      <c r="X551" s="1315"/>
      <c r="Y551" s="1315"/>
    </row>
    <row r="552" spans="1:25" x14ac:dyDescent="0.2">
      <c r="A552" s="1730"/>
      <c r="B552" s="1730"/>
      <c r="C552" s="1730"/>
      <c r="D552" s="1730"/>
      <c r="E552" s="1314"/>
      <c r="R552" s="1315"/>
      <c r="S552" s="1315"/>
      <c r="T552" s="1315"/>
      <c r="U552" s="1315"/>
      <c r="V552" s="1315"/>
      <c r="W552" s="1315"/>
      <c r="X552" s="1315"/>
      <c r="Y552" s="1315"/>
    </row>
    <row r="553" spans="1:25" x14ac:dyDescent="0.2">
      <c r="A553" s="1730"/>
      <c r="B553" s="1730"/>
      <c r="C553" s="1730"/>
      <c r="D553" s="1730"/>
      <c r="E553" s="1314"/>
      <c r="R553" s="1315"/>
      <c r="S553" s="1315"/>
      <c r="T553" s="1315"/>
      <c r="U553" s="1315"/>
      <c r="V553" s="1315"/>
      <c r="W553" s="1315"/>
      <c r="X553" s="1315"/>
      <c r="Y553" s="1315"/>
    </row>
    <row r="554" spans="1:25" x14ac:dyDescent="0.2">
      <c r="A554" s="1730"/>
      <c r="B554" s="1730"/>
      <c r="C554" s="1730"/>
      <c r="D554" s="1730"/>
      <c r="E554" s="1314"/>
      <c r="R554" s="1315"/>
      <c r="S554" s="1315"/>
      <c r="T554" s="1315"/>
      <c r="U554" s="1315"/>
      <c r="V554" s="1315"/>
      <c r="W554" s="1315"/>
      <c r="X554" s="1315"/>
      <c r="Y554" s="1315"/>
    </row>
    <row r="555" spans="1:25" x14ac:dyDescent="0.2">
      <c r="A555" s="1730"/>
      <c r="B555" s="1730"/>
      <c r="C555" s="1730"/>
      <c r="D555" s="1730"/>
      <c r="E555" s="1314"/>
      <c r="R555" s="1315"/>
      <c r="S555" s="1315"/>
      <c r="T555" s="1315"/>
      <c r="U555" s="1315"/>
      <c r="V555" s="1315"/>
      <c r="W555" s="1315"/>
      <c r="X555" s="1315"/>
      <c r="Y555" s="1315"/>
    </row>
    <row r="556" spans="1:25" x14ac:dyDescent="0.2">
      <c r="A556" s="1730"/>
      <c r="B556" s="1730"/>
      <c r="C556" s="1730"/>
      <c r="D556" s="1730"/>
      <c r="E556" s="1314"/>
      <c r="R556" s="1315"/>
      <c r="S556" s="1315"/>
      <c r="T556" s="1315"/>
      <c r="U556" s="1315"/>
      <c r="V556" s="1315"/>
      <c r="W556" s="1315"/>
      <c r="X556" s="1315"/>
      <c r="Y556" s="1315"/>
    </row>
    <row r="557" spans="1:25" x14ac:dyDescent="0.2">
      <c r="A557" s="1730"/>
      <c r="B557" s="1730"/>
      <c r="C557" s="1730"/>
      <c r="D557" s="1730"/>
      <c r="E557" s="1314"/>
      <c r="R557" s="1315"/>
      <c r="S557" s="1315"/>
      <c r="T557" s="1315"/>
      <c r="U557" s="1315"/>
      <c r="V557" s="1315"/>
      <c r="W557" s="1315"/>
      <c r="X557" s="1315"/>
      <c r="Y557" s="1315"/>
    </row>
    <row r="558" spans="1:25" x14ac:dyDescent="0.2">
      <c r="A558" s="1730"/>
      <c r="B558" s="1730"/>
      <c r="C558" s="1730"/>
      <c r="D558" s="1730"/>
      <c r="E558" s="1314"/>
      <c r="R558" s="1315"/>
      <c r="S558" s="1315"/>
      <c r="T558" s="1315"/>
      <c r="U558" s="1315"/>
      <c r="V558" s="1315"/>
      <c r="W558" s="1315"/>
      <c r="X558" s="1315"/>
      <c r="Y558" s="1315"/>
    </row>
    <row r="559" spans="1:25" x14ac:dyDescent="0.2">
      <c r="A559" s="1730"/>
      <c r="B559" s="1730"/>
      <c r="C559" s="1730"/>
      <c r="D559" s="1730"/>
      <c r="E559" s="1314"/>
      <c r="R559" s="1315"/>
      <c r="S559" s="1315"/>
      <c r="T559" s="1315"/>
      <c r="U559" s="1315"/>
      <c r="V559" s="1315"/>
      <c r="W559" s="1315"/>
      <c r="X559" s="1315"/>
      <c r="Y559" s="1315"/>
    </row>
    <row r="560" spans="1:25" x14ac:dyDescent="0.2">
      <c r="A560" s="1730"/>
      <c r="B560" s="1730"/>
      <c r="C560" s="1730"/>
      <c r="D560" s="1730"/>
      <c r="E560" s="1314"/>
      <c r="R560" s="1315"/>
      <c r="S560" s="1315"/>
      <c r="T560" s="1315"/>
      <c r="U560" s="1315"/>
      <c r="V560" s="1315"/>
      <c r="W560" s="1315"/>
      <c r="X560" s="1315"/>
      <c r="Y560" s="1315"/>
    </row>
    <row r="561" spans="1:25" x14ac:dyDescent="0.2">
      <c r="A561" s="1730"/>
      <c r="B561" s="1730"/>
      <c r="C561" s="1730"/>
      <c r="D561" s="1730"/>
      <c r="E561" s="1314"/>
      <c r="R561" s="1315"/>
      <c r="S561" s="1315"/>
      <c r="T561" s="1315"/>
      <c r="U561" s="1315"/>
      <c r="V561" s="1315"/>
      <c r="W561" s="1315"/>
      <c r="X561" s="1315"/>
      <c r="Y561" s="1315"/>
    </row>
    <row r="562" spans="1:25" x14ac:dyDescent="0.2">
      <c r="A562" s="1730"/>
      <c r="B562" s="1730"/>
      <c r="C562" s="1730"/>
      <c r="D562" s="1730"/>
      <c r="E562" s="1314"/>
      <c r="R562" s="1315"/>
      <c r="S562" s="1315"/>
      <c r="T562" s="1315"/>
      <c r="U562" s="1315"/>
      <c r="V562" s="1315"/>
      <c r="W562" s="1315"/>
      <c r="X562" s="1315"/>
      <c r="Y562" s="1315"/>
    </row>
    <row r="563" spans="1:25" x14ac:dyDescent="0.2">
      <c r="A563" s="1730"/>
      <c r="B563" s="1730"/>
      <c r="C563" s="1730"/>
      <c r="D563" s="1730"/>
      <c r="E563" s="1314"/>
      <c r="R563" s="1315"/>
      <c r="S563" s="1315"/>
      <c r="T563" s="1315"/>
      <c r="U563" s="1315"/>
      <c r="V563" s="1315"/>
      <c r="W563" s="1315"/>
      <c r="X563" s="1315"/>
      <c r="Y563" s="1315"/>
    </row>
    <row r="564" spans="1:25" x14ac:dyDescent="0.2">
      <c r="A564" s="1730"/>
      <c r="B564" s="1730"/>
      <c r="C564" s="1730"/>
      <c r="D564" s="1730"/>
      <c r="E564" s="1314"/>
      <c r="R564" s="1315"/>
      <c r="S564" s="1315"/>
      <c r="T564" s="1315"/>
      <c r="U564" s="1315"/>
      <c r="V564" s="1315"/>
      <c r="W564" s="1315"/>
      <c r="X564" s="1315"/>
      <c r="Y564" s="1315"/>
    </row>
    <row r="565" spans="1:25" x14ac:dyDescent="0.2">
      <c r="A565" s="1730"/>
      <c r="B565" s="1730"/>
      <c r="C565" s="1730"/>
      <c r="D565" s="1730"/>
      <c r="E565" s="1314"/>
      <c r="R565" s="1315"/>
      <c r="S565" s="1315"/>
      <c r="T565" s="1315"/>
      <c r="U565" s="1315"/>
      <c r="V565" s="1315"/>
      <c r="W565" s="1315"/>
      <c r="X565" s="1315"/>
      <c r="Y565" s="1315"/>
    </row>
    <row r="566" spans="1:25" x14ac:dyDescent="0.2">
      <c r="A566" s="1730"/>
      <c r="B566" s="1730"/>
      <c r="C566" s="1730"/>
      <c r="D566" s="1730"/>
      <c r="E566" s="1314"/>
      <c r="R566" s="1315"/>
      <c r="S566" s="1315"/>
      <c r="T566" s="1315"/>
      <c r="U566" s="1315"/>
      <c r="V566" s="1315"/>
      <c r="W566" s="1315"/>
      <c r="X566" s="1315"/>
      <c r="Y566" s="1315"/>
    </row>
    <row r="567" spans="1:25" x14ac:dyDescent="0.2">
      <c r="A567" s="1730"/>
      <c r="B567" s="1730"/>
      <c r="C567" s="1730"/>
      <c r="D567" s="1730"/>
      <c r="E567" s="1314"/>
      <c r="R567" s="1315"/>
      <c r="S567" s="1315"/>
      <c r="T567" s="1315"/>
      <c r="U567" s="1315"/>
      <c r="V567" s="1315"/>
      <c r="W567" s="1315"/>
      <c r="X567" s="1315"/>
      <c r="Y567" s="1315"/>
    </row>
    <row r="568" spans="1:25" x14ac:dyDescent="0.2">
      <c r="A568" s="1730"/>
      <c r="B568" s="1730"/>
      <c r="C568" s="1730"/>
      <c r="D568" s="1730"/>
      <c r="E568" s="1314"/>
      <c r="R568" s="1315"/>
      <c r="S568" s="1315"/>
      <c r="T568" s="1315"/>
      <c r="U568" s="1315"/>
      <c r="V568" s="1315"/>
      <c r="W568" s="1315"/>
      <c r="X568" s="1315"/>
      <c r="Y568" s="1315"/>
    </row>
    <row r="569" spans="1:25" x14ac:dyDescent="0.2">
      <c r="A569" s="1730"/>
      <c r="B569" s="1730"/>
      <c r="C569" s="1730"/>
      <c r="D569" s="1730"/>
      <c r="E569" s="1314"/>
      <c r="R569" s="1315"/>
      <c r="S569" s="1315"/>
      <c r="T569" s="1315"/>
      <c r="U569" s="1315"/>
      <c r="V569" s="1315"/>
      <c r="W569" s="1315"/>
      <c r="X569" s="1315"/>
      <c r="Y569" s="1315"/>
    </row>
    <row r="570" spans="1:25" x14ac:dyDescent="0.2">
      <c r="A570" s="1730"/>
      <c r="B570" s="1730"/>
      <c r="C570" s="1730"/>
      <c r="D570" s="1730"/>
      <c r="E570" s="1314"/>
      <c r="R570" s="1315"/>
      <c r="S570" s="1315"/>
      <c r="T570" s="1315"/>
      <c r="U570" s="1315"/>
      <c r="V570" s="1315"/>
      <c r="W570" s="1315"/>
      <c r="X570" s="1315"/>
      <c r="Y570" s="1315"/>
    </row>
    <row r="571" spans="1:25" x14ac:dyDescent="0.2">
      <c r="A571" s="1730"/>
      <c r="B571" s="1730"/>
      <c r="C571" s="1730"/>
      <c r="D571" s="1730"/>
      <c r="E571" s="1314"/>
      <c r="R571" s="1315"/>
      <c r="S571" s="1315"/>
      <c r="T571" s="1315"/>
      <c r="U571" s="1315"/>
      <c r="V571" s="1315"/>
      <c r="W571" s="1315"/>
      <c r="X571" s="1315"/>
      <c r="Y571" s="1315"/>
    </row>
    <row r="572" spans="1:25" x14ac:dyDescent="0.2">
      <c r="A572" s="1730"/>
      <c r="B572" s="1730"/>
      <c r="C572" s="1730"/>
      <c r="D572" s="1730"/>
      <c r="E572" s="1314"/>
      <c r="R572" s="1315"/>
      <c r="S572" s="1315"/>
      <c r="T572" s="1315"/>
      <c r="U572" s="1315"/>
      <c r="V572" s="1315"/>
      <c r="W572" s="1315"/>
      <c r="X572" s="1315"/>
      <c r="Y572" s="1315"/>
    </row>
    <row r="573" spans="1:25" x14ac:dyDescent="0.2">
      <c r="A573" s="1730"/>
      <c r="B573" s="1730"/>
      <c r="C573" s="1730"/>
      <c r="D573" s="1730"/>
      <c r="E573" s="1314"/>
      <c r="R573" s="1315"/>
      <c r="S573" s="1315"/>
      <c r="T573" s="1315"/>
      <c r="U573" s="1315"/>
      <c r="V573" s="1315"/>
      <c r="W573" s="1315"/>
      <c r="X573" s="1315"/>
      <c r="Y573" s="1315"/>
    </row>
    <row r="574" spans="1:25" x14ac:dyDescent="0.2">
      <c r="A574" s="1730"/>
      <c r="B574" s="1730"/>
      <c r="C574" s="1730"/>
      <c r="D574" s="1730"/>
      <c r="E574" s="1314"/>
      <c r="R574" s="1315"/>
      <c r="S574" s="1315"/>
      <c r="T574" s="1315"/>
      <c r="U574" s="1315"/>
      <c r="V574" s="1315"/>
      <c r="W574" s="1315"/>
      <c r="X574" s="1315"/>
      <c r="Y574" s="1315"/>
    </row>
    <row r="575" spans="1:25" x14ac:dyDescent="0.2">
      <c r="A575" s="1730"/>
      <c r="B575" s="1730"/>
      <c r="C575" s="1730"/>
      <c r="D575" s="1730"/>
      <c r="E575" s="1314"/>
      <c r="R575" s="1315"/>
      <c r="S575" s="1315"/>
      <c r="T575" s="1315"/>
      <c r="U575" s="1315"/>
      <c r="V575" s="1315"/>
      <c r="W575" s="1315"/>
      <c r="X575" s="1315"/>
      <c r="Y575" s="1315"/>
    </row>
    <row r="576" spans="1:25" x14ac:dyDescent="0.2">
      <c r="A576" s="1730"/>
      <c r="B576" s="1730"/>
      <c r="C576" s="1730"/>
      <c r="D576" s="1730"/>
      <c r="E576" s="1314"/>
      <c r="R576" s="1315"/>
      <c r="S576" s="1315"/>
      <c r="T576" s="1315"/>
      <c r="U576" s="1315"/>
      <c r="V576" s="1315"/>
      <c r="W576" s="1315"/>
      <c r="X576" s="1315"/>
      <c r="Y576" s="1315"/>
    </row>
    <row r="577" spans="1:25" x14ac:dyDescent="0.2">
      <c r="A577" s="1730"/>
      <c r="B577" s="1730"/>
      <c r="C577" s="1730"/>
      <c r="D577" s="1730"/>
      <c r="E577" s="1314"/>
      <c r="R577" s="1315"/>
      <c r="S577" s="1315"/>
      <c r="T577" s="1315"/>
      <c r="U577" s="1315"/>
      <c r="V577" s="1315"/>
      <c r="W577" s="1315"/>
      <c r="X577" s="1315"/>
      <c r="Y577" s="1315"/>
    </row>
    <row r="578" spans="1:25" x14ac:dyDescent="0.2">
      <c r="A578" s="1730"/>
      <c r="B578" s="1730"/>
      <c r="C578" s="1730"/>
      <c r="D578" s="1730"/>
      <c r="E578" s="1314"/>
      <c r="R578" s="1315"/>
      <c r="S578" s="1315"/>
      <c r="T578" s="1315"/>
      <c r="U578" s="1315"/>
      <c r="V578" s="1315"/>
      <c r="W578" s="1315"/>
      <c r="X578" s="1315"/>
      <c r="Y578" s="1315"/>
    </row>
    <row r="579" spans="1:25" x14ac:dyDescent="0.2">
      <c r="A579" s="1730"/>
      <c r="B579" s="1730"/>
      <c r="C579" s="1730"/>
      <c r="D579" s="1730"/>
      <c r="E579" s="1314"/>
      <c r="R579" s="1315"/>
      <c r="S579" s="1315"/>
      <c r="T579" s="1315"/>
      <c r="U579" s="1315"/>
      <c r="V579" s="1315"/>
      <c r="W579" s="1315"/>
      <c r="X579" s="1315"/>
      <c r="Y579" s="1315"/>
    </row>
    <row r="580" spans="1:25" x14ac:dyDescent="0.2">
      <c r="A580" s="1730"/>
      <c r="B580" s="1730"/>
      <c r="C580" s="1730"/>
      <c r="D580" s="1730"/>
      <c r="E580" s="1314"/>
      <c r="R580" s="1315"/>
      <c r="S580" s="1315"/>
      <c r="T580" s="1315"/>
      <c r="U580" s="1315"/>
      <c r="V580" s="1315"/>
      <c r="W580" s="1315"/>
      <c r="X580" s="1315"/>
      <c r="Y580" s="1315"/>
    </row>
    <row r="581" spans="1:25" x14ac:dyDescent="0.2">
      <c r="A581" s="1730"/>
      <c r="B581" s="1730"/>
      <c r="C581" s="1730"/>
      <c r="D581" s="1730"/>
      <c r="E581" s="1314"/>
      <c r="R581" s="1315"/>
      <c r="S581" s="1315"/>
      <c r="T581" s="1315"/>
      <c r="U581" s="1315"/>
      <c r="V581" s="1315"/>
      <c r="W581" s="1315"/>
      <c r="X581" s="1315"/>
      <c r="Y581" s="1315"/>
    </row>
    <row r="582" spans="1:25" x14ac:dyDescent="0.2">
      <c r="A582" s="1730"/>
      <c r="B582" s="1730"/>
      <c r="C582" s="1730"/>
      <c r="D582" s="1730"/>
      <c r="E582" s="1314"/>
      <c r="R582" s="1315"/>
      <c r="S582" s="1315"/>
      <c r="T582" s="1315"/>
      <c r="U582" s="1315"/>
      <c r="V582" s="1315"/>
      <c r="W582" s="1315"/>
      <c r="X582" s="1315"/>
      <c r="Y582" s="1315"/>
    </row>
    <row r="583" spans="1:25" x14ac:dyDescent="0.2">
      <c r="A583" s="1730"/>
      <c r="B583" s="1730"/>
      <c r="C583" s="1730"/>
      <c r="D583" s="1730"/>
      <c r="E583" s="1314"/>
      <c r="R583" s="1315"/>
      <c r="S583" s="1315"/>
      <c r="T583" s="1315"/>
      <c r="U583" s="1315"/>
      <c r="V583" s="1315"/>
      <c r="W583" s="1315"/>
      <c r="X583" s="1315"/>
      <c r="Y583" s="1315"/>
    </row>
    <row r="584" spans="1:25" x14ac:dyDescent="0.2">
      <c r="A584" s="1730"/>
      <c r="B584" s="1730"/>
      <c r="C584" s="1730"/>
      <c r="D584" s="1730"/>
      <c r="E584" s="1314"/>
      <c r="R584" s="1315"/>
      <c r="S584" s="1315"/>
      <c r="T584" s="1315"/>
      <c r="U584" s="1315"/>
      <c r="V584" s="1315"/>
      <c r="W584" s="1315"/>
      <c r="X584" s="1315"/>
      <c r="Y584" s="1315"/>
    </row>
    <row r="585" spans="1:25" x14ac:dyDescent="0.2">
      <c r="A585" s="1730"/>
      <c r="B585" s="1730"/>
      <c r="C585" s="1730"/>
      <c r="D585" s="1730"/>
      <c r="E585" s="1314"/>
      <c r="R585" s="1315"/>
      <c r="S585" s="1315"/>
      <c r="T585" s="1315"/>
      <c r="U585" s="1315"/>
      <c r="V585" s="1315"/>
      <c r="W585" s="1315"/>
      <c r="X585" s="1315"/>
      <c r="Y585" s="1315"/>
    </row>
    <row r="586" spans="1:25" x14ac:dyDescent="0.2">
      <c r="A586" s="1730"/>
      <c r="B586" s="1730"/>
      <c r="C586" s="1730"/>
      <c r="D586" s="1730"/>
      <c r="E586" s="1314"/>
      <c r="R586" s="1315"/>
      <c r="S586" s="1315"/>
      <c r="T586" s="1315"/>
      <c r="U586" s="1315"/>
      <c r="V586" s="1315"/>
      <c r="W586" s="1315"/>
      <c r="X586" s="1315"/>
      <c r="Y586" s="1315"/>
    </row>
    <row r="587" spans="1:25" x14ac:dyDescent="0.2">
      <c r="A587" s="1730"/>
      <c r="B587" s="1730"/>
      <c r="C587" s="1730"/>
      <c r="D587" s="1730"/>
      <c r="E587" s="1314"/>
      <c r="R587" s="1315"/>
      <c r="S587" s="1315"/>
      <c r="T587" s="1315"/>
      <c r="U587" s="1315"/>
      <c r="V587" s="1315"/>
      <c r="W587" s="1315"/>
      <c r="X587" s="1315"/>
      <c r="Y587" s="1315"/>
    </row>
    <row r="588" spans="1:25" x14ac:dyDescent="0.2">
      <c r="A588" s="1730"/>
      <c r="B588" s="1730"/>
      <c r="C588" s="1730"/>
      <c r="D588" s="1730"/>
      <c r="E588" s="1314"/>
      <c r="R588" s="1315"/>
      <c r="S588" s="1315"/>
      <c r="T588" s="1315"/>
      <c r="U588" s="1315"/>
      <c r="V588" s="1315"/>
      <c r="W588" s="1315"/>
      <c r="X588" s="1315"/>
      <c r="Y588" s="1315"/>
    </row>
    <row r="589" spans="1:25" x14ac:dyDescent="0.2">
      <c r="A589" s="1730"/>
      <c r="B589" s="1730"/>
      <c r="C589" s="1730"/>
      <c r="D589" s="1730"/>
      <c r="E589" s="1314"/>
      <c r="R589" s="1315"/>
      <c r="S589" s="1315"/>
      <c r="T589" s="1315"/>
      <c r="U589" s="1315"/>
      <c r="V589" s="1315"/>
      <c r="W589" s="1315"/>
      <c r="X589" s="1315"/>
      <c r="Y589" s="1315"/>
    </row>
    <row r="590" spans="1:25" x14ac:dyDescent="0.2">
      <c r="A590" s="1730"/>
      <c r="B590" s="1730"/>
      <c r="C590" s="1730"/>
      <c r="D590" s="1730"/>
      <c r="E590" s="1314"/>
      <c r="R590" s="1315"/>
      <c r="S590" s="1315"/>
      <c r="T590" s="1315"/>
      <c r="U590" s="1315"/>
      <c r="V590" s="1315"/>
      <c r="W590" s="1315"/>
      <c r="X590" s="1315"/>
      <c r="Y590" s="1315"/>
    </row>
    <row r="591" spans="1:25" x14ac:dyDescent="0.2">
      <c r="A591" s="1730"/>
      <c r="B591" s="1730"/>
      <c r="C591" s="1730"/>
      <c r="D591" s="1730"/>
      <c r="E591" s="1314"/>
      <c r="R591" s="1315"/>
      <c r="S591" s="1315"/>
      <c r="T591" s="1315"/>
      <c r="U591" s="1315"/>
      <c r="V591" s="1315"/>
      <c r="W591" s="1315"/>
      <c r="X591" s="1315"/>
      <c r="Y591" s="1315"/>
    </row>
    <row r="592" spans="1:25" x14ac:dyDescent="0.2">
      <c r="A592" s="1730"/>
      <c r="B592" s="1730"/>
      <c r="C592" s="1730"/>
      <c r="D592" s="1730"/>
      <c r="E592" s="1314"/>
      <c r="R592" s="1315"/>
      <c r="S592" s="1315"/>
      <c r="T592" s="1315"/>
      <c r="U592" s="1315"/>
      <c r="V592" s="1315"/>
      <c r="W592" s="1315"/>
      <c r="X592" s="1315"/>
      <c r="Y592" s="1315"/>
    </row>
    <row r="593" spans="1:25" x14ac:dyDescent="0.2">
      <c r="A593" s="1730"/>
      <c r="B593" s="1730"/>
      <c r="C593" s="1730"/>
      <c r="D593" s="1730"/>
      <c r="E593" s="1314"/>
      <c r="R593" s="1315"/>
      <c r="S593" s="1315"/>
      <c r="T593" s="1315"/>
      <c r="U593" s="1315"/>
      <c r="V593" s="1315"/>
      <c r="W593" s="1315"/>
      <c r="X593" s="1315"/>
      <c r="Y593" s="1315"/>
    </row>
    <row r="594" spans="1:25" x14ac:dyDescent="0.2">
      <c r="A594" s="1730"/>
      <c r="B594" s="1730"/>
      <c r="C594" s="1730"/>
      <c r="D594" s="1730"/>
      <c r="E594" s="1314"/>
      <c r="R594" s="1315"/>
      <c r="S594" s="1315"/>
      <c r="T594" s="1315"/>
      <c r="U594" s="1315"/>
      <c r="V594" s="1315"/>
      <c r="W594" s="1315"/>
      <c r="X594" s="1315"/>
      <c r="Y594" s="1315"/>
    </row>
    <row r="595" spans="1:25" x14ac:dyDescent="0.2">
      <c r="A595" s="1730"/>
      <c r="B595" s="1730"/>
      <c r="C595" s="1730"/>
      <c r="D595" s="1730"/>
      <c r="E595" s="1314"/>
      <c r="R595" s="1315"/>
      <c r="S595" s="1315"/>
      <c r="T595" s="1315"/>
      <c r="U595" s="1315"/>
      <c r="V595" s="1315"/>
      <c r="W595" s="1315"/>
      <c r="X595" s="1315"/>
      <c r="Y595" s="1315"/>
    </row>
    <row r="596" spans="1:25" x14ac:dyDescent="0.2">
      <c r="A596" s="1730"/>
      <c r="B596" s="1730"/>
      <c r="C596" s="1730"/>
      <c r="D596" s="1730"/>
      <c r="E596" s="1314"/>
      <c r="R596" s="1315"/>
      <c r="S596" s="1315"/>
      <c r="T596" s="1315"/>
      <c r="U596" s="1315"/>
      <c r="V596" s="1315"/>
      <c r="W596" s="1315"/>
      <c r="X596" s="1315"/>
      <c r="Y596" s="1315"/>
    </row>
    <row r="597" spans="1:25" x14ac:dyDescent="0.2">
      <c r="A597" s="1730"/>
      <c r="B597" s="1730"/>
      <c r="C597" s="1730"/>
      <c r="D597" s="1730"/>
      <c r="E597" s="1314"/>
      <c r="R597" s="1315"/>
      <c r="S597" s="1315"/>
      <c r="T597" s="1315"/>
      <c r="U597" s="1315"/>
      <c r="V597" s="1315"/>
      <c r="W597" s="1315"/>
      <c r="X597" s="1315"/>
      <c r="Y597" s="1315"/>
    </row>
    <row r="598" spans="1:25" x14ac:dyDescent="0.2">
      <c r="A598" s="1730"/>
      <c r="B598" s="1730"/>
      <c r="C598" s="1730"/>
      <c r="D598" s="1730"/>
      <c r="E598" s="1314"/>
      <c r="R598" s="1315"/>
      <c r="S598" s="1315"/>
      <c r="T598" s="1315"/>
      <c r="U598" s="1315"/>
      <c r="V598" s="1315"/>
      <c r="W598" s="1315"/>
      <c r="X598" s="1315"/>
      <c r="Y598" s="1315"/>
    </row>
    <row r="599" spans="1:25" x14ac:dyDescent="0.2">
      <c r="A599" s="1730"/>
      <c r="B599" s="1730"/>
      <c r="C599" s="1730"/>
      <c r="D599" s="1730"/>
      <c r="E599" s="1314"/>
      <c r="R599" s="1315"/>
      <c r="S599" s="1315"/>
      <c r="T599" s="1315"/>
      <c r="U599" s="1315"/>
      <c r="V599" s="1315"/>
      <c r="W599" s="1315"/>
      <c r="X599" s="1315"/>
      <c r="Y599" s="1315"/>
    </row>
    <row r="600" spans="1:25" x14ac:dyDescent="0.2">
      <c r="A600" s="1730"/>
      <c r="B600" s="1730"/>
      <c r="C600" s="1730"/>
      <c r="D600" s="1730"/>
      <c r="E600" s="1314"/>
      <c r="R600" s="1315"/>
      <c r="S600" s="1315"/>
      <c r="T600" s="1315"/>
      <c r="U600" s="1315"/>
      <c r="V600" s="1315"/>
      <c r="W600" s="1315"/>
      <c r="X600" s="1315"/>
      <c r="Y600" s="1315"/>
    </row>
    <row r="601" spans="1:25" x14ac:dyDescent="0.2">
      <c r="A601" s="1730"/>
      <c r="B601" s="1730"/>
      <c r="C601" s="1730"/>
      <c r="D601" s="1730"/>
      <c r="E601" s="1314"/>
      <c r="R601" s="1315"/>
      <c r="S601" s="1315"/>
      <c r="T601" s="1315"/>
      <c r="U601" s="1315"/>
      <c r="V601" s="1315"/>
      <c r="W601" s="1315"/>
      <c r="X601" s="1315"/>
      <c r="Y601" s="1315"/>
    </row>
    <row r="602" spans="1:25" x14ac:dyDescent="0.2">
      <c r="A602" s="1730"/>
      <c r="B602" s="1730"/>
      <c r="C602" s="1730"/>
      <c r="D602" s="1730"/>
      <c r="E602" s="1314"/>
      <c r="R602" s="1315"/>
      <c r="S602" s="1315"/>
      <c r="T602" s="1315"/>
      <c r="U602" s="1315"/>
      <c r="V602" s="1315"/>
      <c r="W602" s="1315"/>
      <c r="X602" s="1315"/>
      <c r="Y602" s="1315"/>
    </row>
    <row r="603" spans="1:25" x14ac:dyDescent="0.2">
      <c r="A603" s="1730"/>
      <c r="B603" s="1730"/>
      <c r="C603" s="1730"/>
      <c r="D603" s="1730"/>
      <c r="E603" s="1314"/>
      <c r="R603" s="1315"/>
      <c r="S603" s="1315"/>
      <c r="T603" s="1315"/>
      <c r="U603" s="1315"/>
      <c r="V603" s="1315"/>
      <c r="W603" s="1315"/>
      <c r="X603" s="1315"/>
      <c r="Y603" s="1315"/>
    </row>
    <row r="604" spans="1:25" x14ac:dyDescent="0.2">
      <c r="A604" s="1730"/>
      <c r="B604" s="1730"/>
      <c r="C604" s="1730"/>
      <c r="D604" s="1730"/>
      <c r="E604" s="1314"/>
      <c r="R604" s="1315"/>
      <c r="S604" s="1315"/>
      <c r="T604" s="1315"/>
      <c r="U604" s="1315"/>
      <c r="V604" s="1315"/>
      <c r="W604" s="1315"/>
      <c r="X604" s="1315"/>
      <c r="Y604" s="1315"/>
    </row>
    <row r="605" spans="1:25" x14ac:dyDescent="0.2">
      <c r="A605" s="1730"/>
      <c r="B605" s="1730"/>
      <c r="C605" s="1730"/>
      <c r="D605" s="1730"/>
      <c r="E605" s="1314"/>
      <c r="R605" s="1315"/>
      <c r="S605" s="1315"/>
      <c r="T605" s="1315"/>
      <c r="U605" s="1315"/>
      <c r="V605" s="1315"/>
      <c r="W605" s="1315"/>
      <c r="X605" s="1315"/>
      <c r="Y605" s="1315"/>
    </row>
    <row r="606" spans="1:25" x14ac:dyDescent="0.2">
      <c r="A606" s="1730"/>
      <c r="B606" s="1730"/>
      <c r="C606" s="1730"/>
      <c r="D606" s="1730"/>
      <c r="E606" s="1314"/>
      <c r="R606" s="1315"/>
      <c r="S606" s="1315"/>
      <c r="T606" s="1315"/>
      <c r="U606" s="1315"/>
      <c r="V606" s="1315"/>
      <c r="W606" s="1315"/>
      <c r="X606" s="1315"/>
      <c r="Y606" s="1315"/>
    </row>
    <row r="607" spans="1:25" x14ac:dyDescent="0.2">
      <c r="A607" s="1730"/>
      <c r="B607" s="1730"/>
      <c r="C607" s="1730"/>
      <c r="D607" s="1730"/>
      <c r="E607" s="1314"/>
      <c r="R607" s="1315"/>
      <c r="S607" s="1315"/>
      <c r="T607" s="1315"/>
      <c r="U607" s="1315"/>
      <c r="V607" s="1315"/>
      <c r="W607" s="1315"/>
      <c r="X607" s="1315"/>
      <c r="Y607" s="1315"/>
    </row>
    <row r="608" spans="1:25" x14ac:dyDescent="0.2">
      <c r="A608" s="1730"/>
      <c r="B608" s="1730"/>
      <c r="C608" s="1730"/>
      <c r="D608" s="1730"/>
      <c r="E608" s="1314"/>
      <c r="R608" s="1315"/>
      <c r="S608" s="1315"/>
      <c r="T608" s="1315"/>
      <c r="U608" s="1315"/>
      <c r="V608" s="1315"/>
      <c r="W608" s="1315"/>
      <c r="X608" s="1315"/>
      <c r="Y608" s="1315"/>
    </row>
    <row r="609" spans="1:25" x14ac:dyDescent="0.2">
      <c r="A609" s="1730"/>
      <c r="B609" s="1730"/>
      <c r="C609" s="1730"/>
      <c r="D609" s="1730"/>
      <c r="E609" s="1314"/>
      <c r="R609" s="1315"/>
      <c r="S609" s="1315"/>
      <c r="T609" s="1315"/>
      <c r="U609" s="1315"/>
      <c r="V609" s="1315"/>
      <c r="W609" s="1315"/>
      <c r="X609" s="1315"/>
      <c r="Y609" s="1315"/>
    </row>
    <row r="610" spans="1:25" x14ac:dyDescent="0.2">
      <c r="A610" s="1730"/>
      <c r="B610" s="1730"/>
      <c r="C610" s="1730"/>
      <c r="D610" s="1730"/>
      <c r="E610" s="1314"/>
      <c r="R610" s="1315"/>
      <c r="S610" s="1315"/>
      <c r="T610" s="1315"/>
      <c r="U610" s="1315"/>
      <c r="V610" s="1315"/>
      <c r="W610" s="1315"/>
      <c r="X610" s="1315"/>
      <c r="Y610" s="1315"/>
    </row>
    <row r="611" spans="1:25" x14ac:dyDescent="0.2">
      <c r="A611" s="1730"/>
      <c r="B611" s="1730"/>
      <c r="C611" s="1730"/>
      <c r="D611" s="1730"/>
      <c r="E611" s="1314"/>
      <c r="R611" s="1315"/>
      <c r="S611" s="1315"/>
      <c r="T611" s="1315"/>
      <c r="U611" s="1315"/>
      <c r="V611" s="1315"/>
      <c r="W611" s="1315"/>
      <c r="X611" s="1315"/>
      <c r="Y611" s="1315"/>
    </row>
    <row r="612" spans="1:25" x14ac:dyDescent="0.2">
      <c r="A612" s="1730"/>
      <c r="B612" s="1730"/>
      <c r="C612" s="1730"/>
      <c r="D612" s="1730"/>
      <c r="E612" s="1314"/>
      <c r="R612" s="1315"/>
      <c r="S612" s="1315"/>
      <c r="T612" s="1315"/>
      <c r="U612" s="1315"/>
      <c r="V612" s="1315"/>
      <c r="W612" s="1315"/>
      <c r="X612" s="1315"/>
      <c r="Y612" s="1315"/>
    </row>
    <row r="613" spans="1:25" x14ac:dyDescent="0.2">
      <c r="A613" s="1730"/>
      <c r="B613" s="1730"/>
      <c r="C613" s="1730"/>
      <c r="D613" s="1730"/>
      <c r="E613" s="1314"/>
      <c r="R613" s="1315"/>
      <c r="S613" s="1315"/>
      <c r="T613" s="1315"/>
      <c r="U613" s="1315"/>
      <c r="V613" s="1315"/>
      <c r="W613" s="1315"/>
      <c r="X613" s="1315"/>
      <c r="Y613" s="1315"/>
    </row>
    <row r="614" spans="1:25" x14ac:dyDescent="0.2">
      <c r="A614" s="1730"/>
      <c r="B614" s="1730"/>
      <c r="C614" s="1730"/>
      <c r="D614" s="1730"/>
      <c r="E614" s="1314"/>
      <c r="R614" s="1315"/>
      <c r="S614" s="1315"/>
      <c r="T614" s="1315"/>
      <c r="U614" s="1315"/>
      <c r="V614" s="1315"/>
      <c r="W614" s="1315"/>
      <c r="X614" s="1315"/>
      <c r="Y614" s="1315"/>
    </row>
    <row r="615" spans="1:25" x14ac:dyDescent="0.2">
      <c r="A615" s="1730"/>
      <c r="B615" s="1730"/>
      <c r="C615" s="1730"/>
      <c r="D615" s="1730"/>
      <c r="E615" s="1314"/>
      <c r="R615" s="1315"/>
      <c r="S615" s="1315"/>
      <c r="T615" s="1315"/>
      <c r="U615" s="1315"/>
      <c r="V615" s="1315"/>
      <c r="W615" s="1315"/>
      <c r="X615" s="1315"/>
      <c r="Y615" s="1315"/>
    </row>
    <row r="616" spans="1:25" x14ac:dyDescent="0.2">
      <c r="A616" s="1730"/>
      <c r="B616" s="1730"/>
      <c r="C616" s="1730"/>
      <c r="D616" s="1730"/>
      <c r="E616" s="1314"/>
      <c r="R616" s="1315"/>
      <c r="S616" s="1315"/>
      <c r="T616" s="1315"/>
      <c r="U616" s="1315"/>
      <c r="V616" s="1315"/>
      <c r="W616" s="1315"/>
      <c r="X616" s="1315"/>
      <c r="Y616" s="1315"/>
    </row>
    <row r="617" spans="1:25" x14ac:dyDescent="0.2">
      <c r="A617" s="1730"/>
      <c r="B617" s="1730"/>
      <c r="C617" s="1730"/>
      <c r="D617" s="1730"/>
      <c r="E617" s="1314"/>
      <c r="R617" s="1315"/>
      <c r="S617" s="1315"/>
      <c r="T617" s="1315"/>
      <c r="U617" s="1315"/>
      <c r="V617" s="1315"/>
      <c r="W617" s="1315"/>
      <c r="X617" s="1315"/>
      <c r="Y617" s="1315"/>
    </row>
    <row r="618" spans="1:25" x14ac:dyDescent="0.2">
      <c r="A618" s="1730"/>
      <c r="B618" s="1730"/>
      <c r="C618" s="1730"/>
      <c r="D618" s="1730"/>
      <c r="E618" s="1314"/>
      <c r="R618" s="1315"/>
      <c r="S618" s="1315"/>
      <c r="T618" s="1315"/>
      <c r="U618" s="1315"/>
      <c r="V618" s="1315"/>
      <c r="W618" s="1315"/>
      <c r="X618" s="1315"/>
      <c r="Y618" s="1315"/>
    </row>
    <row r="619" spans="1:25" x14ac:dyDescent="0.2">
      <c r="A619" s="1730"/>
      <c r="B619" s="1730"/>
      <c r="C619" s="1730"/>
      <c r="D619" s="1730"/>
      <c r="E619" s="1314"/>
      <c r="R619" s="1315"/>
      <c r="S619" s="1315"/>
      <c r="T619" s="1315"/>
      <c r="U619" s="1315"/>
      <c r="V619" s="1315"/>
      <c r="W619" s="1315"/>
      <c r="X619" s="1315"/>
      <c r="Y619" s="1315"/>
    </row>
    <row r="620" spans="1:25" x14ac:dyDescent="0.2">
      <c r="A620" s="1730"/>
      <c r="B620" s="1730"/>
      <c r="C620" s="1730"/>
      <c r="D620" s="1730"/>
      <c r="E620" s="1314"/>
      <c r="R620" s="1315"/>
      <c r="S620" s="1315"/>
      <c r="T620" s="1315"/>
      <c r="U620" s="1315"/>
      <c r="V620" s="1315"/>
      <c r="W620" s="1315"/>
      <c r="X620" s="1315"/>
      <c r="Y620" s="1315"/>
    </row>
    <row r="621" spans="1:25" x14ac:dyDescent="0.2">
      <c r="A621" s="1730"/>
      <c r="B621" s="1730"/>
      <c r="C621" s="1730"/>
      <c r="D621" s="1730"/>
      <c r="E621" s="1314"/>
      <c r="R621" s="1315"/>
      <c r="S621" s="1315"/>
      <c r="T621" s="1315"/>
      <c r="U621" s="1315"/>
      <c r="V621" s="1315"/>
      <c r="W621" s="1315"/>
      <c r="X621" s="1315"/>
      <c r="Y621" s="1315"/>
    </row>
    <row r="622" spans="1:25" x14ac:dyDescent="0.2">
      <c r="A622" s="1730"/>
      <c r="B622" s="1730"/>
      <c r="C622" s="1730"/>
      <c r="D622" s="1730"/>
      <c r="E622" s="1314"/>
      <c r="R622" s="1315"/>
      <c r="S622" s="1315"/>
      <c r="T622" s="1315"/>
      <c r="U622" s="1315"/>
      <c r="V622" s="1315"/>
      <c r="W622" s="1315"/>
      <c r="X622" s="1315"/>
      <c r="Y622" s="1315"/>
    </row>
    <row r="623" spans="1:25" x14ac:dyDescent="0.2">
      <c r="A623" s="1730"/>
      <c r="B623" s="1730"/>
      <c r="C623" s="1730"/>
      <c r="D623" s="1730"/>
      <c r="E623" s="1314"/>
      <c r="R623" s="1315"/>
      <c r="S623" s="1315"/>
      <c r="T623" s="1315"/>
      <c r="U623" s="1315"/>
      <c r="V623" s="1315"/>
      <c r="W623" s="1315"/>
      <c r="X623" s="1315"/>
      <c r="Y623" s="1315"/>
    </row>
    <row r="624" spans="1:25" x14ac:dyDescent="0.2">
      <c r="A624" s="1730"/>
      <c r="B624" s="1730"/>
      <c r="C624" s="1730"/>
      <c r="D624" s="1730"/>
      <c r="E624" s="1314"/>
      <c r="R624" s="1315"/>
      <c r="S624" s="1315"/>
      <c r="T624" s="1315"/>
      <c r="U624" s="1315"/>
      <c r="V624" s="1315"/>
      <c r="W624" s="1315"/>
      <c r="X624" s="1315"/>
      <c r="Y624" s="1315"/>
    </row>
    <row r="625" spans="1:25" x14ac:dyDescent="0.2">
      <c r="A625" s="1730"/>
      <c r="B625" s="1730"/>
      <c r="C625" s="1730"/>
      <c r="D625" s="1730"/>
      <c r="E625" s="1314"/>
      <c r="R625" s="1315"/>
      <c r="S625" s="1315"/>
      <c r="T625" s="1315"/>
      <c r="U625" s="1315"/>
      <c r="V625" s="1315"/>
      <c r="W625" s="1315"/>
      <c r="X625" s="1315"/>
      <c r="Y625" s="1315"/>
    </row>
    <row r="626" spans="1:25" x14ac:dyDescent="0.2">
      <c r="A626" s="1730"/>
      <c r="B626" s="1730"/>
      <c r="C626" s="1730"/>
      <c r="D626" s="1730"/>
      <c r="E626" s="1314"/>
      <c r="R626" s="1315"/>
      <c r="S626" s="1315"/>
      <c r="T626" s="1315"/>
      <c r="U626" s="1315"/>
      <c r="V626" s="1315"/>
      <c r="W626" s="1315"/>
      <c r="X626" s="1315"/>
      <c r="Y626" s="1315"/>
    </row>
    <row r="627" spans="1:25" x14ac:dyDescent="0.2">
      <c r="A627" s="1730"/>
      <c r="B627" s="1730"/>
      <c r="C627" s="1730"/>
      <c r="D627" s="1730"/>
      <c r="E627" s="1314"/>
      <c r="R627" s="1315"/>
      <c r="S627" s="1315"/>
      <c r="T627" s="1315"/>
      <c r="U627" s="1315"/>
      <c r="V627" s="1315"/>
      <c r="W627" s="1315"/>
      <c r="X627" s="1315"/>
      <c r="Y627" s="1315"/>
    </row>
    <row r="628" spans="1:25" x14ac:dyDescent="0.2">
      <c r="A628" s="1730"/>
      <c r="B628" s="1730"/>
      <c r="C628" s="1730"/>
      <c r="D628" s="1730"/>
      <c r="E628" s="1314"/>
      <c r="R628" s="1315"/>
      <c r="S628" s="1315"/>
      <c r="T628" s="1315"/>
      <c r="U628" s="1315"/>
      <c r="V628" s="1315"/>
      <c r="W628" s="1315"/>
      <c r="X628" s="1315"/>
      <c r="Y628" s="1315"/>
    </row>
    <row r="629" spans="1:25" x14ac:dyDescent="0.2">
      <c r="A629" s="1730"/>
      <c r="B629" s="1730"/>
      <c r="C629" s="1730"/>
      <c r="D629" s="1730"/>
      <c r="E629" s="1314"/>
      <c r="R629" s="1315"/>
      <c r="S629" s="1315"/>
      <c r="T629" s="1315"/>
      <c r="U629" s="1315"/>
      <c r="V629" s="1315"/>
      <c r="W629" s="1315"/>
      <c r="X629" s="1315"/>
      <c r="Y629" s="1315"/>
    </row>
    <row r="630" spans="1:25" x14ac:dyDescent="0.2">
      <c r="A630" s="1730"/>
      <c r="B630" s="1730"/>
      <c r="C630" s="1730"/>
      <c r="D630" s="1730"/>
      <c r="E630" s="1314"/>
      <c r="R630" s="1315"/>
      <c r="S630" s="1315"/>
      <c r="T630" s="1315"/>
      <c r="U630" s="1315"/>
      <c r="V630" s="1315"/>
      <c r="W630" s="1315"/>
      <c r="X630" s="1315"/>
      <c r="Y630" s="1315"/>
    </row>
    <row r="631" spans="1:25" x14ac:dyDescent="0.2">
      <c r="A631" s="1730"/>
      <c r="B631" s="1730"/>
      <c r="C631" s="1730"/>
      <c r="D631" s="1730"/>
      <c r="E631" s="1314"/>
      <c r="R631" s="1315"/>
      <c r="S631" s="1315"/>
      <c r="T631" s="1315"/>
      <c r="U631" s="1315"/>
      <c r="V631" s="1315"/>
      <c r="W631" s="1315"/>
      <c r="X631" s="1315"/>
      <c r="Y631" s="1315"/>
    </row>
    <row r="632" spans="1:25" x14ac:dyDescent="0.2">
      <c r="A632" s="1730"/>
      <c r="B632" s="1730"/>
      <c r="C632" s="1730"/>
      <c r="D632" s="1730"/>
      <c r="E632" s="1314"/>
      <c r="R632" s="1315"/>
      <c r="S632" s="1315"/>
      <c r="T632" s="1315"/>
      <c r="U632" s="1315"/>
      <c r="V632" s="1315"/>
      <c r="W632" s="1315"/>
      <c r="X632" s="1315"/>
      <c r="Y632" s="1315"/>
    </row>
    <row r="633" spans="1:25" x14ac:dyDescent="0.2">
      <c r="A633" s="1730"/>
      <c r="B633" s="1730"/>
      <c r="C633" s="1730"/>
      <c r="D633" s="1730"/>
      <c r="E633" s="1314"/>
      <c r="R633" s="1315"/>
      <c r="S633" s="1315"/>
      <c r="T633" s="1315"/>
      <c r="U633" s="1315"/>
      <c r="V633" s="1315"/>
      <c r="W633" s="1315"/>
      <c r="X633" s="1315"/>
      <c r="Y633" s="1315"/>
    </row>
    <row r="634" spans="1:25" x14ac:dyDescent="0.2">
      <c r="A634" s="1730"/>
      <c r="B634" s="1730"/>
      <c r="C634" s="1730"/>
      <c r="D634" s="1730"/>
      <c r="E634" s="1314"/>
      <c r="R634" s="1315"/>
      <c r="S634" s="1315"/>
      <c r="T634" s="1315"/>
      <c r="U634" s="1315"/>
      <c r="V634" s="1315"/>
      <c r="W634" s="1315"/>
      <c r="X634" s="1315"/>
      <c r="Y634" s="1315"/>
    </row>
    <row r="635" spans="1:25" x14ac:dyDescent="0.2">
      <c r="A635" s="1730"/>
      <c r="B635" s="1730"/>
      <c r="C635" s="1730"/>
      <c r="D635" s="1730"/>
      <c r="E635" s="1314"/>
      <c r="R635" s="1315"/>
      <c r="S635" s="1315"/>
      <c r="T635" s="1315"/>
      <c r="U635" s="1315"/>
      <c r="V635" s="1315"/>
      <c r="W635" s="1315"/>
      <c r="X635" s="1315"/>
      <c r="Y635" s="1315"/>
    </row>
    <row r="636" spans="1:25" x14ac:dyDescent="0.2">
      <c r="A636" s="1730"/>
      <c r="B636" s="1730"/>
      <c r="C636" s="1730"/>
      <c r="D636" s="1730"/>
      <c r="E636" s="1314"/>
      <c r="R636" s="1315"/>
      <c r="S636" s="1315"/>
      <c r="T636" s="1315"/>
      <c r="U636" s="1315"/>
      <c r="V636" s="1315"/>
      <c r="W636" s="1315"/>
      <c r="X636" s="1315"/>
      <c r="Y636" s="1315"/>
    </row>
    <row r="637" spans="1:25" x14ac:dyDescent="0.2">
      <c r="A637" s="1730"/>
      <c r="B637" s="1730"/>
      <c r="C637" s="1730"/>
      <c r="D637" s="1730"/>
      <c r="E637" s="1314"/>
      <c r="R637" s="1315"/>
      <c r="S637" s="1315"/>
      <c r="T637" s="1315"/>
      <c r="U637" s="1315"/>
      <c r="V637" s="1315"/>
      <c r="W637" s="1315"/>
      <c r="X637" s="1315"/>
      <c r="Y637" s="1315"/>
    </row>
    <row r="638" spans="1:25" x14ac:dyDescent="0.2">
      <c r="A638" s="1730"/>
      <c r="B638" s="1730"/>
      <c r="C638" s="1730"/>
      <c r="D638" s="1730"/>
      <c r="E638" s="1314"/>
      <c r="R638" s="1315"/>
      <c r="S638" s="1315"/>
      <c r="T638" s="1315"/>
      <c r="U638" s="1315"/>
      <c r="V638" s="1315"/>
      <c r="W638" s="1315"/>
      <c r="X638" s="1315"/>
      <c r="Y638" s="1315"/>
    </row>
    <row r="639" spans="1:25" x14ac:dyDescent="0.2">
      <c r="A639" s="1730"/>
      <c r="B639" s="1730"/>
      <c r="C639" s="1730"/>
      <c r="D639" s="1730"/>
      <c r="E639" s="1314"/>
      <c r="R639" s="1315"/>
      <c r="S639" s="1315"/>
      <c r="T639" s="1315"/>
      <c r="U639" s="1315"/>
      <c r="V639" s="1315"/>
      <c r="W639" s="1315"/>
      <c r="X639" s="1315"/>
      <c r="Y639" s="1315"/>
    </row>
    <row r="640" spans="1:25" x14ac:dyDescent="0.2">
      <c r="A640" s="1730"/>
      <c r="B640" s="1730"/>
      <c r="C640" s="1730"/>
      <c r="D640" s="1730"/>
      <c r="E640" s="1314"/>
      <c r="R640" s="1315"/>
      <c r="S640" s="1315"/>
      <c r="T640" s="1315"/>
      <c r="U640" s="1315"/>
      <c r="V640" s="1315"/>
      <c r="W640" s="1315"/>
      <c r="X640" s="1315"/>
      <c r="Y640" s="1315"/>
    </row>
    <row r="641" spans="1:25" x14ac:dyDescent="0.2">
      <c r="A641" s="1730"/>
      <c r="B641" s="1730"/>
      <c r="C641" s="1730"/>
      <c r="D641" s="1730"/>
      <c r="E641" s="1314"/>
      <c r="R641" s="1315"/>
      <c r="S641" s="1315"/>
      <c r="T641" s="1315"/>
      <c r="U641" s="1315"/>
      <c r="V641" s="1315"/>
      <c r="W641" s="1315"/>
      <c r="X641" s="1315"/>
      <c r="Y641" s="1315"/>
    </row>
    <row r="642" spans="1:25" x14ac:dyDescent="0.2">
      <c r="A642" s="1730"/>
      <c r="B642" s="1730"/>
      <c r="C642" s="1730"/>
      <c r="D642" s="1730"/>
      <c r="E642" s="1314"/>
      <c r="R642" s="1315"/>
      <c r="S642" s="1315"/>
      <c r="T642" s="1315"/>
      <c r="U642" s="1315"/>
      <c r="V642" s="1315"/>
      <c r="W642" s="1315"/>
      <c r="X642" s="1315"/>
      <c r="Y642" s="1315"/>
    </row>
    <row r="643" spans="1:25" x14ac:dyDescent="0.2">
      <c r="A643" s="1730"/>
      <c r="B643" s="1730"/>
      <c r="C643" s="1730"/>
      <c r="D643" s="1730"/>
      <c r="E643" s="1314"/>
      <c r="R643" s="1315"/>
      <c r="S643" s="1315"/>
      <c r="T643" s="1315"/>
      <c r="U643" s="1315"/>
      <c r="V643" s="1315"/>
      <c r="W643" s="1315"/>
      <c r="X643" s="1315"/>
      <c r="Y643" s="1315"/>
    </row>
    <row r="644" spans="1:25" x14ac:dyDescent="0.2">
      <c r="A644" s="1730"/>
      <c r="B644" s="1730"/>
      <c r="C644" s="1730"/>
      <c r="D644" s="1730"/>
      <c r="E644" s="1314"/>
      <c r="R644" s="1315"/>
      <c r="S644" s="1315"/>
      <c r="T644" s="1315"/>
      <c r="U644" s="1315"/>
      <c r="V644" s="1315"/>
      <c r="W644" s="1315"/>
      <c r="X644" s="1315"/>
      <c r="Y644" s="1315"/>
    </row>
    <row r="645" spans="1:25" x14ac:dyDescent="0.2">
      <c r="A645" s="1730"/>
      <c r="B645" s="1730"/>
      <c r="C645" s="1730"/>
      <c r="D645" s="1730"/>
      <c r="E645" s="1314"/>
      <c r="R645" s="1315"/>
      <c r="S645" s="1315"/>
      <c r="T645" s="1315"/>
      <c r="U645" s="1315"/>
      <c r="V645" s="1315"/>
      <c r="W645" s="1315"/>
      <c r="X645" s="1315"/>
      <c r="Y645" s="1315"/>
    </row>
    <row r="646" spans="1:25" x14ac:dyDescent="0.2">
      <c r="A646" s="1730"/>
      <c r="B646" s="1730"/>
      <c r="C646" s="1730"/>
      <c r="D646" s="1730"/>
      <c r="E646" s="1314"/>
      <c r="R646" s="1315"/>
      <c r="S646" s="1315"/>
      <c r="T646" s="1315"/>
      <c r="U646" s="1315"/>
      <c r="V646" s="1315"/>
      <c r="W646" s="1315"/>
      <c r="X646" s="1315"/>
      <c r="Y646" s="1315"/>
    </row>
    <row r="647" spans="1:25" x14ac:dyDescent="0.2">
      <c r="A647" s="1730"/>
      <c r="B647" s="1730"/>
      <c r="C647" s="1730"/>
      <c r="D647" s="1730"/>
      <c r="E647" s="1314"/>
      <c r="R647" s="1315"/>
      <c r="S647" s="1315"/>
      <c r="T647" s="1315"/>
      <c r="U647" s="1315"/>
      <c r="V647" s="1315"/>
      <c r="W647" s="1315"/>
      <c r="X647" s="1315"/>
      <c r="Y647" s="1315"/>
    </row>
    <row r="648" spans="1:25" x14ac:dyDescent="0.2">
      <c r="A648" s="1730"/>
      <c r="B648" s="1730"/>
      <c r="C648" s="1730"/>
      <c r="D648" s="1730"/>
      <c r="E648" s="1314"/>
      <c r="R648" s="1315"/>
      <c r="S648" s="1315"/>
      <c r="T648" s="1315"/>
      <c r="U648" s="1315"/>
      <c r="V648" s="1315"/>
      <c r="W648" s="1315"/>
      <c r="X648" s="1315"/>
      <c r="Y648" s="1315"/>
    </row>
    <row r="649" spans="1:25" x14ac:dyDescent="0.2">
      <c r="A649" s="1730"/>
      <c r="B649" s="1730"/>
      <c r="C649" s="1730"/>
      <c r="D649" s="1730"/>
      <c r="E649" s="1314"/>
      <c r="R649" s="1315"/>
      <c r="S649" s="1315"/>
      <c r="T649" s="1315"/>
      <c r="U649" s="1315"/>
      <c r="V649" s="1315"/>
      <c r="W649" s="1315"/>
      <c r="X649" s="1315"/>
      <c r="Y649" s="1315"/>
    </row>
    <row r="650" spans="1:25" x14ac:dyDescent="0.2">
      <c r="A650" s="1730"/>
      <c r="B650" s="1730"/>
      <c r="C650" s="1730"/>
      <c r="D650" s="1730"/>
      <c r="E650" s="1314"/>
      <c r="R650" s="1315"/>
      <c r="S650" s="1315"/>
      <c r="T650" s="1315"/>
      <c r="U650" s="1315"/>
      <c r="V650" s="1315"/>
      <c r="W650" s="1315"/>
      <c r="X650" s="1315"/>
      <c r="Y650" s="1315"/>
    </row>
    <row r="651" spans="1:25" x14ac:dyDescent="0.2">
      <c r="A651" s="1730"/>
      <c r="B651" s="1730"/>
      <c r="C651" s="1730"/>
      <c r="D651" s="1730"/>
      <c r="E651" s="1314"/>
      <c r="R651" s="1315"/>
      <c r="S651" s="1315"/>
      <c r="T651" s="1315"/>
      <c r="U651" s="1315"/>
      <c r="V651" s="1315"/>
      <c r="W651" s="1315"/>
      <c r="X651" s="1315"/>
      <c r="Y651" s="1315"/>
    </row>
    <row r="652" spans="1:25" x14ac:dyDescent="0.2">
      <c r="A652" s="1730"/>
      <c r="B652" s="1730"/>
      <c r="C652" s="1730"/>
      <c r="D652" s="1730"/>
      <c r="E652" s="1314"/>
      <c r="R652" s="1315"/>
      <c r="S652" s="1315"/>
      <c r="T652" s="1315"/>
      <c r="U652" s="1315"/>
      <c r="V652" s="1315"/>
      <c r="W652" s="1315"/>
      <c r="X652" s="1315"/>
      <c r="Y652" s="1315"/>
    </row>
    <row r="653" spans="1:25" x14ac:dyDescent="0.2">
      <c r="A653" s="1730"/>
      <c r="B653" s="1730"/>
      <c r="C653" s="1730"/>
      <c r="D653" s="1730"/>
      <c r="E653" s="1314"/>
      <c r="R653" s="1315"/>
      <c r="S653" s="1315"/>
      <c r="T653" s="1315"/>
      <c r="U653" s="1315"/>
      <c r="V653" s="1315"/>
      <c r="W653" s="1315"/>
      <c r="X653" s="1315"/>
      <c r="Y653" s="1315"/>
    </row>
    <row r="654" spans="1:25" x14ac:dyDescent="0.2">
      <c r="A654" s="1730"/>
      <c r="B654" s="1730"/>
      <c r="C654" s="1730"/>
      <c r="D654" s="1730"/>
      <c r="E654" s="1314"/>
      <c r="R654" s="1315"/>
      <c r="S654" s="1315"/>
      <c r="T654" s="1315"/>
      <c r="U654" s="1315"/>
      <c r="V654" s="1315"/>
      <c r="W654" s="1315"/>
      <c r="X654" s="1315"/>
      <c r="Y654" s="1315"/>
    </row>
    <row r="655" spans="1:25" x14ac:dyDescent="0.2">
      <c r="A655" s="1730"/>
      <c r="B655" s="1730"/>
      <c r="C655" s="1730"/>
      <c r="D655" s="1730"/>
      <c r="E655" s="1314"/>
      <c r="R655" s="1315"/>
      <c r="S655" s="1315"/>
      <c r="T655" s="1315"/>
      <c r="U655" s="1315"/>
      <c r="V655" s="1315"/>
      <c r="W655" s="1315"/>
      <c r="X655" s="1315"/>
      <c r="Y655" s="1315"/>
    </row>
    <row r="656" spans="1:25" x14ac:dyDescent="0.2">
      <c r="A656" s="1730"/>
      <c r="B656" s="1730"/>
      <c r="C656" s="1730"/>
      <c r="D656" s="1730"/>
      <c r="E656" s="1314"/>
      <c r="R656" s="1315"/>
      <c r="S656" s="1315"/>
      <c r="T656" s="1315"/>
      <c r="U656" s="1315"/>
      <c r="V656" s="1315"/>
      <c r="W656" s="1315"/>
      <c r="X656" s="1315"/>
      <c r="Y656" s="1315"/>
    </row>
    <row r="657" spans="1:25" x14ac:dyDescent="0.2">
      <c r="A657" s="1730"/>
      <c r="B657" s="1730"/>
      <c r="C657" s="1730"/>
      <c r="D657" s="1730"/>
      <c r="E657" s="1314"/>
      <c r="R657" s="1315"/>
      <c r="S657" s="1315"/>
      <c r="T657" s="1315"/>
      <c r="U657" s="1315"/>
      <c r="V657" s="1315"/>
      <c r="W657" s="1315"/>
      <c r="X657" s="1315"/>
      <c r="Y657" s="1315"/>
    </row>
    <row r="658" spans="1:25" x14ac:dyDescent="0.2">
      <c r="A658" s="1730"/>
      <c r="B658" s="1730"/>
      <c r="C658" s="1730"/>
      <c r="D658" s="1730"/>
      <c r="E658" s="1314"/>
      <c r="R658" s="1315"/>
      <c r="S658" s="1315"/>
      <c r="T658" s="1315"/>
      <c r="U658" s="1315"/>
      <c r="V658" s="1315"/>
      <c r="W658" s="1315"/>
      <c r="X658" s="1315"/>
      <c r="Y658" s="1315"/>
    </row>
    <row r="659" spans="1:25" x14ac:dyDescent="0.2">
      <c r="A659" s="1730"/>
      <c r="B659" s="1730"/>
      <c r="C659" s="1730"/>
      <c r="D659" s="1730"/>
      <c r="E659" s="1314"/>
      <c r="R659" s="1315"/>
      <c r="S659" s="1315"/>
      <c r="T659" s="1315"/>
      <c r="U659" s="1315"/>
      <c r="V659" s="1315"/>
      <c r="W659" s="1315"/>
      <c r="X659" s="1315"/>
      <c r="Y659" s="1315"/>
    </row>
    <row r="660" spans="1:25" x14ac:dyDescent="0.2">
      <c r="A660" s="1730"/>
      <c r="B660" s="1730"/>
      <c r="C660" s="1730"/>
      <c r="D660" s="1730"/>
      <c r="E660" s="1314"/>
      <c r="R660" s="1315"/>
      <c r="S660" s="1315"/>
      <c r="T660" s="1315"/>
      <c r="U660" s="1315"/>
      <c r="V660" s="1315"/>
      <c r="W660" s="1315"/>
      <c r="X660" s="1315"/>
      <c r="Y660" s="1315"/>
    </row>
    <row r="661" spans="1:25" x14ac:dyDescent="0.2">
      <c r="A661" s="1730"/>
      <c r="B661" s="1730"/>
      <c r="C661" s="1730"/>
      <c r="D661" s="1730"/>
      <c r="E661" s="1314"/>
      <c r="R661" s="1315"/>
      <c r="S661" s="1315"/>
      <c r="T661" s="1315"/>
      <c r="U661" s="1315"/>
      <c r="V661" s="1315"/>
      <c r="W661" s="1315"/>
      <c r="X661" s="1315"/>
      <c r="Y661" s="1315"/>
    </row>
    <row r="662" spans="1:25" x14ac:dyDescent="0.2">
      <c r="A662" s="1730"/>
      <c r="B662" s="1730"/>
      <c r="C662" s="1730"/>
      <c r="D662" s="1730"/>
      <c r="E662" s="1314"/>
      <c r="R662" s="1315"/>
      <c r="S662" s="1315"/>
      <c r="T662" s="1315"/>
      <c r="U662" s="1315"/>
      <c r="V662" s="1315"/>
      <c r="W662" s="1315"/>
      <c r="X662" s="1315"/>
      <c r="Y662" s="1315"/>
    </row>
    <row r="663" spans="1:25" x14ac:dyDescent="0.2">
      <c r="A663" s="1730"/>
      <c r="B663" s="1730"/>
      <c r="C663" s="1730"/>
      <c r="D663" s="1730"/>
      <c r="E663" s="1314"/>
      <c r="R663" s="1315"/>
      <c r="S663" s="1315"/>
      <c r="T663" s="1315"/>
      <c r="U663" s="1315"/>
      <c r="V663" s="1315"/>
      <c r="W663" s="1315"/>
      <c r="X663" s="1315"/>
      <c r="Y663" s="1315"/>
    </row>
    <row r="664" spans="1:25" x14ac:dyDescent="0.2">
      <c r="A664" s="1730"/>
      <c r="B664" s="1730"/>
      <c r="C664" s="1730"/>
      <c r="D664" s="1730"/>
      <c r="E664" s="1314"/>
      <c r="R664" s="1315"/>
      <c r="S664" s="1315"/>
      <c r="T664" s="1315"/>
      <c r="U664" s="1315"/>
      <c r="V664" s="1315"/>
      <c r="W664" s="1315"/>
      <c r="X664" s="1315"/>
      <c r="Y664" s="1315"/>
    </row>
    <row r="665" spans="1:25" x14ac:dyDescent="0.2">
      <c r="A665" s="1730"/>
      <c r="B665" s="1730"/>
      <c r="C665" s="1730"/>
      <c r="D665" s="1730"/>
      <c r="E665" s="1314"/>
      <c r="R665" s="1315"/>
      <c r="S665" s="1315"/>
      <c r="T665" s="1315"/>
      <c r="U665" s="1315"/>
      <c r="V665" s="1315"/>
      <c r="W665" s="1315"/>
      <c r="X665" s="1315"/>
      <c r="Y665" s="1315"/>
    </row>
    <row r="666" spans="1:25" x14ac:dyDescent="0.2">
      <c r="A666" s="1730"/>
      <c r="B666" s="1730"/>
      <c r="C666" s="1730"/>
      <c r="D666" s="1730"/>
      <c r="E666" s="1314"/>
      <c r="R666" s="1315"/>
      <c r="S666" s="1315"/>
      <c r="T666" s="1315"/>
      <c r="U666" s="1315"/>
      <c r="V666" s="1315"/>
      <c r="W666" s="1315"/>
      <c r="X666" s="1315"/>
      <c r="Y666" s="1315"/>
    </row>
    <row r="667" spans="1:25" x14ac:dyDescent="0.2">
      <c r="A667" s="1730"/>
      <c r="B667" s="1730"/>
      <c r="C667" s="1730"/>
      <c r="D667" s="1730"/>
      <c r="E667" s="1314"/>
      <c r="R667" s="1315"/>
      <c r="S667" s="1315"/>
      <c r="T667" s="1315"/>
      <c r="U667" s="1315"/>
      <c r="V667" s="1315"/>
      <c r="W667" s="1315"/>
      <c r="X667" s="1315"/>
      <c r="Y667" s="1315"/>
    </row>
    <row r="668" spans="1:25" x14ac:dyDescent="0.2">
      <c r="A668" s="1730"/>
      <c r="B668" s="1730"/>
      <c r="C668" s="1730"/>
      <c r="D668" s="1730"/>
      <c r="E668" s="1314"/>
      <c r="R668" s="1315"/>
      <c r="S668" s="1315"/>
      <c r="T668" s="1315"/>
      <c r="U668" s="1315"/>
      <c r="V668" s="1315"/>
      <c r="W668" s="1315"/>
      <c r="X668" s="1315"/>
      <c r="Y668" s="1315"/>
    </row>
    <row r="669" spans="1:25" x14ac:dyDescent="0.2">
      <c r="A669" s="1730"/>
      <c r="B669" s="1730"/>
      <c r="C669" s="1730"/>
      <c r="D669" s="1730"/>
      <c r="E669" s="1314"/>
      <c r="R669" s="1315"/>
      <c r="S669" s="1315"/>
      <c r="T669" s="1315"/>
      <c r="U669" s="1315"/>
      <c r="V669" s="1315"/>
      <c r="W669" s="1315"/>
      <c r="X669" s="1315"/>
      <c r="Y669" s="1315"/>
    </row>
    <row r="670" spans="1:25" x14ac:dyDescent="0.2">
      <c r="A670" s="1730"/>
      <c r="B670" s="1730"/>
      <c r="C670" s="1730"/>
      <c r="D670" s="1730"/>
      <c r="E670" s="1314"/>
      <c r="R670" s="1315"/>
      <c r="S670" s="1315"/>
      <c r="T670" s="1315"/>
      <c r="U670" s="1315"/>
      <c r="V670" s="1315"/>
      <c r="W670" s="1315"/>
      <c r="X670" s="1315"/>
      <c r="Y670" s="1315"/>
    </row>
    <row r="671" spans="1:25" x14ac:dyDescent="0.2">
      <c r="A671" s="1730"/>
      <c r="B671" s="1730"/>
      <c r="C671" s="1730"/>
      <c r="D671" s="1730"/>
      <c r="E671" s="1314"/>
      <c r="R671" s="1315"/>
      <c r="S671" s="1315"/>
      <c r="T671" s="1315"/>
      <c r="U671" s="1315"/>
      <c r="V671" s="1315"/>
      <c r="W671" s="1315"/>
      <c r="X671" s="1315"/>
      <c r="Y671" s="1315"/>
    </row>
    <row r="672" spans="1:25" x14ac:dyDescent="0.2">
      <c r="A672" s="1730"/>
      <c r="B672" s="1730"/>
      <c r="C672" s="1730"/>
      <c r="D672" s="1730"/>
      <c r="E672" s="1314"/>
      <c r="R672" s="1315"/>
      <c r="S672" s="1315"/>
      <c r="T672" s="1315"/>
      <c r="U672" s="1315"/>
      <c r="V672" s="1315"/>
      <c r="W672" s="1315"/>
      <c r="X672" s="1315"/>
      <c r="Y672" s="1315"/>
    </row>
    <row r="673" spans="1:25" x14ac:dyDescent="0.2">
      <c r="A673" s="1730"/>
      <c r="B673" s="1730"/>
      <c r="C673" s="1730"/>
      <c r="D673" s="1730"/>
      <c r="E673" s="1314"/>
      <c r="R673" s="1315"/>
      <c r="S673" s="1315"/>
      <c r="T673" s="1315"/>
      <c r="U673" s="1315"/>
      <c r="V673" s="1315"/>
      <c r="W673" s="1315"/>
      <c r="X673" s="1315"/>
      <c r="Y673" s="1315"/>
    </row>
    <row r="674" spans="1:25" x14ac:dyDescent="0.2">
      <c r="A674" s="1730"/>
      <c r="B674" s="1730"/>
      <c r="C674" s="1730"/>
      <c r="D674" s="1730"/>
      <c r="E674" s="1314"/>
      <c r="R674" s="1315"/>
      <c r="S674" s="1315"/>
      <c r="T674" s="1315"/>
      <c r="U674" s="1315"/>
      <c r="V674" s="1315"/>
      <c r="W674" s="1315"/>
      <c r="X674" s="1315"/>
      <c r="Y674" s="1315"/>
    </row>
    <row r="675" spans="1:25" x14ac:dyDescent="0.2">
      <c r="A675" s="1730"/>
      <c r="B675" s="1730"/>
      <c r="C675" s="1730"/>
      <c r="D675" s="1730"/>
      <c r="E675" s="1314"/>
      <c r="R675" s="1315"/>
      <c r="S675" s="1315"/>
      <c r="T675" s="1315"/>
      <c r="U675" s="1315"/>
      <c r="V675" s="1315"/>
      <c r="W675" s="1315"/>
      <c r="X675" s="1315"/>
      <c r="Y675" s="1315"/>
    </row>
    <row r="676" spans="1:25" x14ac:dyDescent="0.2">
      <c r="A676" s="1730"/>
      <c r="B676" s="1730"/>
      <c r="C676" s="1730"/>
      <c r="D676" s="1730"/>
      <c r="E676" s="1314"/>
      <c r="R676" s="1315"/>
      <c r="S676" s="1315"/>
      <c r="T676" s="1315"/>
      <c r="U676" s="1315"/>
      <c r="V676" s="1315"/>
      <c r="W676" s="1315"/>
      <c r="X676" s="1315"/>
      <c r="Y676" s="1315"/>
    </row>
    <row r="677" spans="1:25" x14ac:dyDescent="0.2">
      <c r="A677" s="1730"/>
      <c r="B677" s="1730"/>
      <c r="C677" s="1730"/>
      <c r="D677" s="1730"/>
      <c r="E677" s="1314"/>
      <c r="R677" s="1315"/>
      <c r="S677" s="1315"/>
      <c r="T677" s="1315"/>
      <c r="U677" s="1315"/>
      <c r="V677" s="1315"/>
      <c r="W677" s="1315"/>
      <c r="X677" s="1315"/>
      <c r="Y677" s="1315"/>
    </row>
    <row r="678" spans="1:25" x14ac:dyDescent="0.2">
      <c r="A678" s="1730"/>
      <c r="B678" s="1730"/>
      <c r="C678" s="1730"/>
      <c r="D678" s="1730"/>
      <c r="E678" s="1314"/>
      <c r="R678" s="1315"/>
      <c r="S678" s="1315"/>
      <c r="T678" s="1315"/>
      <c r="U678" s="1315"/>
      <c r="V678" s="1315"/>
      <c r="W678" s="1315"/>
      <c r="X678" s="1315"/>
      <c r="Y678" s="1315"/>
    </row>
    <row r="679" spans="1:25" x14ac:dyDescent="0.2">
      <c r="A679" s="1730"/>
      <c r="B679" s="1730"/>
      <c r="C679" s="1730"/>
      <c r="D679" s="1730"/>
      <c r="E679" s="1314"/>
      <c r="R679" s="1315"/>
      <c r="S679" s="1315"/>
      <c r="T679" s="1315"/>
      <c r="U679" s="1315"/>
      <c r="V679" s="1315"/>
      <c r="W679" s="1315"/>
      <c r="X679" s="1315"/>
      <c r="Y679" s="1315"/>
    </row>
    <row r="680" spans="1:25" x14ac:dyDescent="0.2">
      <c r="A680" s="1730"/>
      <c r="B680" s="1730"/>
      <c r="C680" s="1730"/>
      <c r="D680" s="1730"/>
      <c r="E680" s="1314"/>
      <c r="R680" s="1315"/>
      <c r="S680" s="1315"/>
      <c r="T680" s="1315"/>
      <c r="U680" s="1315"/>
      <c r="V680" s="1315"/>
      <c r="W680" s="1315"/>
      <c r="X680" s="1315"/>
      <c r="Y680" s="1315"/>
    </row>
    <row r="681" spans="1:25" x14ac:dyDescent="0.2">
      <c r="A681" s="1730"/>
      <c r="B681" s="1730"/>
      <c r="C681" s="1730"/>
      <c r="D681" s="1730"/>
      <c r="E681" s="1314"/>
      <c r="R681" s="1315"/>
      <c r="S681" s="1315"/>
      <c r="T681" s="1315"/>
      <c r="U681" s="1315"/>
      <c r="V681" s="1315"/>
      <c r="W681" s="1315"/>
      <c r="X681" s="1315"/>
      <c r="Y681" s="1315"/>
    </row>
    <row r="682" spans="1:25" x14ac:dyDescent="0.2">
      <c r="A682" s="1730"/>
      <c r="B682" s="1730"/>
      <c r="C682" s="1730"/>
      <c r="D682" s="1730"/>
      <c r="E682" s="1314"/>
      <c r="R682" s="1315"/>
      <c r="S682" s="1315"/>
      <c r="T682" s="1315"/>
      <c r="U682" s="1315"/>
      <c r="V682" s="1315"/>
      <c r="W682" s="1315"/>
      <c r="X682" s="1315"/>
      <c r="Y682" s="1315"/>
    </row>
    <row r="683" spans="1:25" x14ac:dyDescent="0.2">
      <c r="A683" s="1730"/>
      <c r="B683" s="1730"/>
      <c r="C683" s="1730"/>
      <c r="D683" s="1730"/>
      <c r="E683" s="1314"/>
      <c r="R683" s="1315"/>
      <c r="S683" s="1315"/>
      <c r="T683" s="1315"/>
      <c r="U683" s="1315"/>
      <c r="V683" s="1315"/>
      <c r="W683" s="1315"/>
      <c r="X683" s="1315"/>
      <c r="Y683" s="1315"/>
    </row>
    <row r="684" spans="1:25" x14ac:dyDescent="0.2">
      <c r="A684" s="1730"/>
      <c r="B684" s="1730"/>
      <c r="C684" s="1730"/>
      <c r="D684" s="1730"/>
      <c r="E684" s="1314"/>
      <c r="R684" s="1315"/>
      <c r="S684" s="1315"/>
      <c r="T684" s="1315"/>
      <c r="U684" s="1315"/>
      <c r="V684" s="1315"/>
      <c r="W684" s="1315"/>
      <c r="X684" s="1315"/>
      <c r="Y684" s="1315"/>
    </row>
    <row r="685" spans="1:25" x14ac:dyDescent="0.2">
      <c r="A685" s="1730"/>
      <c r="B685" s="1730"/>
      <c r="C685" s="1730"/>
      <c r="D685" s="1730"/>
      <c r="E685" s="1314"/>
      <c r="R685" s="1315"/>
      <c r="S685" s="1315"/>
      <c r="T685" s="1315"/>
      <c r="U685" s="1315"/>
      <c r="V685" s="1315"/>
      <c r="W685" s="1315"/>
      <c r="X685" s="1315"/>
      <c r="Y685" s="1315"/>
    </row>
    <row r="686" spans="1:25" x14ac:dyDescent="0.2">
      <c r="A686" s="1730"/>
      <c r="B686" s="1730"/>
      <c r="C686" s="1730"/>
      <c r="D686" s="1730"/>
      <c r="E686" s="1314"/>
      <c r="R686" s="1315"/>
      <c r="S686" s="1315"/>
      <c r="T686" s="1315"/>
      <c r="U686" s="1315"/>
      <c r="V686" s="1315"/>
      <c r="W686" s="1315"/>
      <c r="X686" s="1315"/>
      <c r="Y686" s="1315"/>
    </row>
    <row r="687" spans="1:25" x14ac:dyDescent="0.2">
      <c r="A687" s="1730"/>
      <c r="B687" s="1730"/>
      <c r="C687" s="1730"/>
      <c r="D687" s="1730"/>
      <c r="E687" s="1314"/>
      <c r="R687" s="1315"/>
      <c r="S687" s="1315"/>
      <c r="T687" s="1315"/>
      <c r="U687" s="1315"/>
      <c r="V687" s="1315"/>
      <c r="W687" s="1315"/>
      <c r="X687" s="1315"/>
      <c r="Y687" s="1315"/>
    </row>
    <row r="688" spans="1:25" x14ac:dyDescent="0.2">
      <c r="A688" s="1730"/>
      <c r="B688" s="1730"/>
      <c r="C688" s="1730"/>
      <c r="D688" s="1730"/>
      <c r="E688" s="1314"/>
      <c r="R688" s="1315"/>
      <c r="S688" s="1315"/>
      <c r="T688" s="1315"/>
      <c r="U688" s="1315"/>
      <c r="V688" s="1315"/>
      <c r="W688" s="1315"/>
      <c r="X688" s="1315"/>
      <c r="Y688" s="1315"/>
    </row>
    <row r="689" spans="1:25" x14ac:dyDescent="0.2">
      <c r="A689" s="1730"/>
      <c r="B689" s="1730"/>
      <c r="C689" s="1730"/>
      <c r="D689" s="1730"/>
      <c r="E689" s="1314"/>
      <c r="R689" s="1315"/>
      <c r="S689" s="1315"/>
      <c r="T689" s="1315"/>
      <c r="U689" s="1315"/>
      <c r="V689" s="1315"/>
      <c r="W689" s="1315"/>
      <c r="X689" s="1315"/>
      <c r="Y689" s="1315"/>
    </row>
    <row r="690" spans="1:25" x14ac:dyDescent="0.2">
      <c r="A690" s="1730"/>
      <c r="B690" s="1730"/>
      <c r="C690" s="1730"/>
      <c r="D690" s="1730"/>
      <c r="E690" s="1314"/>
      <c r="R690" s="1315"/>
      <c r="S690" s="1315"/>
      <c r="T690" s="1315"/>
      <c r="U690" s="1315"/>
      <c r="V690" s="1315"/>
      <c r="W690" s="1315"/>
      <c r="X690" s="1315"/>
      <c r="Y690" s="1315"/>
    </row>
    <row r="691" spans="1:25" x14ac:dyDescent="0.2">
      <c r="A691" s="1730"/>
      <c r="B691" s="1730"/>
      <c r="C691" s="1730"/>
      <c r="D691" s="1730"/>
      <c r="E691" s="1314"/>
      <c r="R691" s="1315"/>
      <c r="S691" s="1315"/>
      <c r="T691" s="1315"/>
      <c r="U691" s="1315"/>
      <c r="V691" s="1315"/>
      <c r="W691" s="1315"/>
      <c r="X691" s="1315"/>
      <c r="Y691" s="1315"/>
    </row>
    <row r="692" spans="1:25" x14ac:dyDescent="0.2">
      <c r="A692" s="1730"/>
      <c r="B692" s="1730"/>
      <c r="C692" s="1730"/>
      <c r="D692" s="1730"/>
      <c r="E692" s="1314"/>
      <c r="R692" s="1315"/>
      <c r="S692" s="1315"/>
      <c r="T692" s="1315"/>
      <c r="U692" s="1315"/>
      <c r="V692" s="1315"/>
      <c r="W692" s="1315"/>
      <c r="X692" s="1315"/>
      <c r="Y692" s="1315"/>
    </row>
    <row r="693" spans="1:25" x14ac:dyDescent="0.2">
      <c r="A693" s="1730"/>
      <c r="B693" s="1730"/>
      <c r="C693" s="1730"/>
      <c r="D693" s="1730"/>
      <c r="E693" s="1314"/>
      <c r="R693" s="1315"/>
      <c r="S693" s="1315"/>
      <c r="T693" s="1315"/>
      <c r="U693" s="1315"/>
      <c r="V693" s="1315"/>
      <c r="W693" s="1315"/>
      <c r="X693" s="1315"/>
      <c r="Y693" s="1315"/>
    </row>
    <row r="694" spans="1:25" x14ac:dyDescent="0.2">
      <c r="A694" s="1730"/>
      <c r="B694" s="1730"/>
      <c r="C694" s="1730"/>
      <c r="D694" s="1730"/>
      <c r="E694" s="1314"/>
      <c r="R694" s="1315"/>
      <c r="S694" s="1315"/>
      <c r="T694" s="1315"/>
      <c r="U694" s="1315"/>
      <c r="V694" s="1315"/>
      <c r="W694" s="1315"/>
      <c r="X694" s="1315"/>
      <c r="Y694" s="1315"/>
    </row>
    <row r="695" spans="1:25" x14ac:dyDescent="0.2">
      <c r="A695" s="1730"/>
      <c r="B695" s="1730"/>
      <c r="C695" s="1730"/>
      <c r="D695" s="1730"/>
      <c r="E695" s="1314"/>
      <c r="R695" s="1315"/>
      <c r="S695" s="1315"/>
      <c r="T695" s="1315"/>
      <c r="U695" s="1315"/>
      <c r="V695" s="1315"/>
      <c r="W695" s="1315"/>
      <c r="X695" s="1315"/>
      <c r="Y695" s="1315"/>
    </row>
    <row r="696" spans="1:25" x14ac:dyDescent="0.2">
      <c r="A696" s="1730"/>
      <c r="B696" s="1730"/>
      <c r="C696" s="1730"/>
      <c r="D696" s="1730"/>
      <c r="E696" s="1314"/>
      <c r="R696" s="1315"/>
      <c r="S696" s="1315"/>
      <c r="T696" s="1315"/>
      <c r="U696" s="1315"/>
      <c r="V696" s="1315"/>
      <c r="W696" s="1315"/>
      <c r="X696" s="1315"/>
      <c r="Y696" s="1315"/>
    </row>
    <row r="697" spans="1:25" x14ac:dyDescent="0.2">
      <c r="A697" s="1730"/>
      <c r="B697" s="1730"/>
      <c r="C697" s="1730"/>
      <c r="D697" s="1730"/>
      <c r="E697" s="1314"/>
      <c r="R697" s="1315"/>
      <c r="S697" s="1315"/>
      <c r="T697" s="1315"/>
      <c r="U697" s="1315"/>
      <c r="V697" s="1315"/>
      <c r="W697" s="1315"/>
      <c r="X697" s="1315"/>
      <c r="Y697" s="1315"/>
    </row>
    <row r="698" spans="1:25" x14ac:dyDescent="0.2">
      <c r="A698" s="1730"/>
      <c r="B698" s="1730"/>
      <c r="C698" s="1730"/>
      <c r="D698" s="1730"/>
      <c r="E698" s="1314"/>
      <c r="R698" s="1315"/>
      <c r="S698" s="1315"/>
      <c r="T698" s="1315"/>
      <c r="U698" s="1315"/>
      <c r="V698" s="1315"/>
      <c r="W698" s="1315"/>
      <c r="X698" s="1315"/>
      <c r="Y698" s="1315"/>
    </row>
    <row r="699" spans="1:25" x14ac:dyDescent="0.2">
      <c r="A699" s="1730"/>
      <c r="B699" s="1730"/>
      <c r="C699" s="1730"/>
      <c r="D699" s="1730"/>
      <c r="E699" s="1314"/>
      <c r="R699" s="1315"/>
      <c r="S699" s="1315"/>
      <c r="T699" s="1315"/>
      <c r="U699" s="1315"/>
      <c r="V699" s="1315"/>
      <c r="W699" s="1315"/>
      <c r="X699" s="1315"/>
      <c r="Y699" s="1315"/>
    </row>
    <row r="700" spans="1:25" x14ac:dyDescent="0.2">
      <c r="A700" s="1730"/>
      <c r="B700" s="1730"/>
      <c r="C700" s="1730"/>
      <c r="D700" s="1730"/>
      <c r="E700" s="1314"/>
      <c r="R700" s="1315"/>
      <c r="S700" s="1315"/>
      <c r="T700" s="1315"/>
      <c r="U700" s="1315"/>
      <c r="V700" s="1315"/>
      <c r="W700" s="1315"/>
      <c r="X700" s="1315"/>
      <c r="Y700" s="1315"/>
    </row>
    <row r="701" spans="1:25" x14ac:dyDescent="0.2">
      <c r="A701" s="1730"/>
      <c r="B701" s="1730"/>
      <c r="C701" s="1730"/>
      <c r="D701" s="1730"/>
      <c r="E701" s="1314"/>
      <c r="R701" s="1315"/>
      <c r="S701" s="1315"/>
      <c r="T701" s="1315"/>
      <c r="U701" s="1315"/>
      <c r="V701" s="1315"/>
      <c r="W701" s="1315"/>
      <c r="X701" s="1315"/>
      <c r="Y701" s="1315"/>
    </row>
    <row r="702" spans="1:25" x14ac:dyDescent="0.2">
      <c r="A702" s="1730"/>
      <c r="B702" s="1730"/>
      <c r="C702" s="1730"/>
      <c r="D702" s="1730"/>
      <c r="E702" s="1314"/>
      <c r="R702" s="1315"/>
      <c r="S702" s="1315"/>
      <c r="T702" s="1315"/>
      <c r="U702" s="1315"/>
      <c r="V702" s="1315"/>
      <c r="W702" s="1315"/>
      <c r="X702" s="1315"/>
      <c r="Y702" s="1315"/>
    </row>
    <row r="703" spans="1:25" x14ac:dyDescent="0.2">
      <c r="A703" s="1730"/>
      <c r="B703" s="1730"/>
      <c r="C703" s="1730"/>
      <c r="D703" s="1730"/>
      <c r="E703" s="1314"/>
      <c r="R703" s="1315"/>
      <c r="S703" s="1315"/>
      <c r="T703" s="1315"/>
      <c r="U703" s="1315"/>
      <c r="V703" s="1315"/>
      <c r="W703" s="1315"/>
      <c r="X703" s="1315"/>
      <c r="Y703" s="1315"/>
    </row>
    <row r="704" spans="1:25" x14ac:dyDescent="0.2">
      <c r="A704" s="1730"/>
      <c r="B704" s="1730"/>
      <c r="C704" s="1730"/>
      <c r="D704" s="1730"/>
      <c r="E704" s="1314"/>
      <c r="R704" s="1315"/>
      <c r="S704" s="1315"/>
      <c r="T704" s="1315"/>
      <c r="U704" s="1315"/>
      <c r="V704" s="1315"/>
      <c r="W704" s="1315"/>
      <c r="X704" s="1315"/>
      <c r="Y704" s="1315"/>
    </row>
    <row r="705" spans="1:25" x14ac:dyDescent="0.2">
      <c r="A705" s="1730"/>
      <c r="B705" s="1730"/>
      <c r="C705" s="1730"/>
      <c r="D705" s="1730"/>
      <c r="E705" s="1314"/>
      <c r="R705" s="1315"/>
      <c r="S705" s="1315"/>
      <c r="T705" s="1315"/>
      <c r="U705" s="1315"/>
      <c r="V705" s="1315"/>
      <c r="W705" s="1315"/>
      <c r="X705" s="1315"/>
      <c r="Y705" s="1315"/>
    </row>
    <row r="706" spans="1:25" x14ac:dyDescent="0.2">
      <c r="A706" s="1730"/>
      <c r="B706" s="1730"/>
      <c r="C706" s="1730"/>
      <c r="D706" s="1730"/>
      <c r="E706" s="1314"/>
      <c r="R706" s="1315"/>
      <c r="S706" s="1315"/>
      <c r="T706" s="1315"/>
      <c r="U706" s="1315"/>
      <c r="V706" s="1315"/>
      <c r="W706" s="1315"/>
      <c r="X706" s="1315"/>
      <c r="Y706" s="1315"/>
    </row>
    <row r="707" spans="1:25" x14ac:dyDescent="0.2">
      <c r="A707" s="1730"/>
      <c r="B707" s="1730"/>
      <c r="C707" s="1730"/>
      <c r="D707" s="1730"/>
      <c r="E707" s="1314"/>
      <c r="R707" s="1315"/>
      <c r="S707" s="1315"/>
      <c r="T707" s="1315"/>
      <c r="U707" s="1315"/>
      <c r="V707" s="1315"/>
      <c r="W707" s="1315"/>
      <c r="X707" s="1315"/>
      <c r="Y707" s="1315"/>
    </row>
    <row r="708" spans="1:25" x14ac:dyDescent="0.2">
      <c r="A708" s="1730"/>
      <c r="B708" s="1730"/>
      <c r="C708" s="1730"/>
      <c r="D708" s="1730"/>
      <c r="E708" s="1314"/>
      <c r="R708" s="1315"/>
      <c r="S708" s="1315"/>
      <c r="T708" s="1315"/>
      <c r="U708" s="1315"/>
      <c r="V708" s="1315"/>
      <c r="W708" s="1315"/>
      <c r="X708" s="1315"/>
      <c r="Y708" s="1315"/>
    </row>
    <row r="709" spans="1:25" x14ac:dyDescent="0.2">
      <c r="A709" s="1730"/>
      <c r="B709" s="1730"/>
      <c r="C709" s="1730"/>
      <c r="D709" s="1730"/>
      <c r="E709" s="1314"/>
      <c r="R709" s="1315"/>
      <c r="S709" s="1315"/>
      <c r="T709" s="1315"/>
      <c r="U709" s="1315"/>
      <c r="V709" s="1315"/>
      <c r="W709" s="1315"/>
      <c r="X709" s="1315"/>
      <c r="Y709" s="1315"/>
    </row>
    <row r="710" spans="1:25" x14ac:dyDescent="0.2">
      <c r="A710" s="1730"/>
      <c r="B710" s="1730"/>
      <c r="C710" s="1730"/>
      <c r="D710" s="1730"/>
      <c r="E710" s="1314"/>
      <c r="R710" s="1315"/>
      <c r="S710" s="1315"/>
      <c r="T710" s="1315"/>
      <c r="U710" s="1315"/>
      <c r="V710" s="1315"/>
      <c r="W710" s="1315"/>
      <c r="X710" s="1315"/>
      <c r="Y710" s="1315"/>
    </row>
    <row r="711" spans="1:25" x14ac:dyDescent="0.2">
      <c r="A711" s="1730"/>
      <c r="B711" s="1730"/>
      <c r="C711" s="1730"/>
      <c r="D711" s="1730"/>
      <c r="E711" s="1314"/>
      <c r="R711" s="1315"/>
      <c r="S711" s="1315"/>
      <c r="T711" s="1315"/>
      <c r="U711" s="1315"/>
      <c r="V711" s="1315"/>
      <c r="W711" s="1315"/>
      <c r="X711" s="1315"/>
      <c r="Y711" s="1315"/>
    </row>
    <row r="712" spans="1:25" x14ac:dyDescent="0.2">
      <c r="A712" s="1730"/>
      <c r="B712" s="1730"/>
      <c r="C712" s="1730"/>
      <c r="D712" s="1730"/>
      <c r="E712" s="1314"/>
      <c r="R712" s="1315"/>
      <c r="S712" s="1315"/>
      <c r="T712" s="1315"/>
      <c r="U712" s="1315"/>
      <c r="V712" s="1315"/>
      <c r="W712" s="1315"/>
      <c r="X712" s="1315"/>
      <c r="Y712" s="1315"/>
    </row>
    <row r="713" spans="1:25" x14ac:dyDescent="0.2">
      <c r="A713" s="1730"/>
      <c r="B713" s="1730"/>
      <c r="C713" s="1730"/>
      <c r="D713" s="1730"/>
      <c r="E713" s="1314"/>
      <c r="R713" s="1315"/>
      <c r="S713" s="1315"/>
      <c r="T713" s="1315"/>
      <c r="U713" s="1315"/>
      <c r="V713" s="1315"/>
      <c r="W713" s="1315"/>
      <c r="X713" s="1315"/>
      <c r="Y713" s="1315"/>
    </row>
    <row r="714" spans="1:25" x14ac:dyDescent="0.2">
      <c r="A714" s="1730"/>
      <c r="B714" s="1730"/>
      <c r="C714" s="1730"/>
      <c r="D714" s="1730"/>
      <c r="E714" s="1314"/>
      <c r="R714" s="1315"/>
      <c r="S714" s="1315"/>
      <c r="T714" s="1315"/>
      <c r="U714" s="1315"/>
      <c r="V714" s="1315"/>
      <c r="W714" s="1315"/>
      <c r="X714" s="1315"/>
      <c r="Y714" s="1315"/>
    </row>
    <row r="715" spans="1:25" x14ac:dyDescent="0.2">
      <c r="A715" s="1730"/>
      <c r="B715" s="1730"/>
      <c r="C715" s="1730"/>
      <c r="D715" s="1730"/>
      <c r="E715" s="1314"/>
      <c r="R715" s="1315"/>
      <c r="S715" s="1315"/>
      <c r="T715" s="1315"/>
      <c r="U715" s="1315"/>
      <c r="V715" s="1315"/>
      <c r="W715" s="1315"/>
      <c r="X715" s="1315"/>
      <c r="Y715" s="1315"/>
    </row>
    <row r="716" spans="1:25" x14ac:dyDescent="0.2">
      <c r="A716" s="1730"/>
      <c r="B716" s="1730"/>
      <c r="C716" s="1730"/>
      <c r="D716" s="1730"/>
      <c r="E716" s="1314"/>
      <c r="R716" s="1315"/>
      <c r="S716" s="1315"/>
      <c r="T716" s="1315"/>
      <c r="U716" s="1315"/>
      <c r="V716" s="1315"/>
      <c r="W716" s="1315"/>
      <c r="X716" s="1315"/>
      <c r="Y716" s="1315"/>
    </row>
    <row r="717" spans="1:25" x14ac:dyDescent="0.2">
      <c r="A717" s="1730"/>
      <c r="B717" s="1730"/>
      <c r="C717" s="1730"/>
      <c r="D717" s="1730"/>
      <c r="E717" s="1314"/>
      <c r="R717" s="1315"/>
      <c r="S717" s="1315"/>
      <c r="T717" s="1315"/>
      <c r="U717" s="1315"/>
      <c r="V717" s="1315"/>
      <c r="W717" s="1315"/>
      <c r="X717" s="1315"/>
      <c r="Y717" s="1315"/>
    </row>
    <row r="718" spans="1:25" x14ac:dyDescent="0.2">
      <c r="A718" s="1730"/>
      <c r="B718" s="1730"/>
      <c r="C718" s="1730"/>
      <c r="D718" s="1730"/>
      <c r="E718" s="1314"/>
      <c r="R718" s="1315"/>
      <c r="S718" s="1315"/>
      <c r="T718" s="1315"/>
      <c r="U718" s="1315"/>
      <c r="V718" s="1315"/>
      <c r="W718" s="1315"/>
      <c r="X718" s="1315"/>
      <c r="Y718" s="1315"/>
    </row>
    <row r="719" spans="1:25" x14ac:dyDescent="0.2">
      <c r="A719" s="1730"/>
      <c r="B719" s="1730"/>
      <c r="C719" s="1730"/>
      <c r="D719" s="1730"/>
      <c r="E719" s="1314"/>
      <c r="R719" s="1315"/>
      <c r="S719" s="1315"/>
      <c r="T719" s="1315"/>
      <c r="U719" s="1315"/>
      <c r="V719" s="1315"/>
      <c r="W719" s="1315"/>
      <c r="X719" s="1315"/>
      <c r="Y719" s="1315"/>
    </row>
    <row r="720" spans="1:25" x14ac:dyDescent="0.2">
      <c r="A720" s="1730"/>
      <c r="B720" s="1730"/>
      <c r="C720" s="1730"/>
      <c r="D720" s="1730"/>
      <c r="E720" s="1314"/>
      <c r="R720" s="1315"/>
      <c r="S720" s="1315"/>
      <c r="T720" s="1315"/>
      <c r="U720" s="1315"/>
      <c r="V720" s="1315"/>
      <c r="W720" s="1315"/>
      <c r="X720" s="1315"/>
      <c r="Y720" s="1315"/>
    </row>
    <row r="721" spans="1:25" x14ac:dyDescent="0.2">
      <c r="A721" s="1730"/>
      <c r="B721" s="1730"/>
      <c r="C721" s="1730"/>
      <c r="D721" s="1730"/>
      <c r="E721" s="1314"/>
      <c r="R721" s="1315"/>
      <c r="S721" s="1315"/>
      <c r="T721" s="1315"/>
      <c r="U721" s="1315"/>
      <c r="V721" s="1315"/>
      <c r="W721" s="1315"/>
      <c r="X721" s="1315"/>
      <c r="Y721" s="1315"/>
    </row>
    <row r="722" spans="1:25" x14ac:dyDescent="0.2">
      <c r="A722" s="1730"/>
      <c r="B722" s="1730"/>
      <c r="C722" s="1730"/>
      <c r="D722" s="1730"/>
      <c r="E722" s="1314"/>
      <c r="R722" s="1315"/>
      <c r="S722" s="1315"/>
      <c r="T722" s="1315"/>
      <c r="U722" s="1315"/>
      <c r="V722" s="1315"/>
      <c r="W722" s="1315"/>
      <c r="X722" s="1315"/>
      <c r="Y722" s="1315"/>
    </row>
    <row r="723" spans="1:25" x14ac:dyDescent="0.2">
      <c r="A723" s="1730"/>
      <c r="B723" s="1730"/>
      <c r="C723" s="1730"/>
      <c r="D723" s="1730"/>
      <c r="E723" s="1314"/>
      <c r="R723" s="1315"/>
      <c r="S723" s="1315"/>
      <c r="T723" s="1315"/>
      <c r="U723" s="1315"/>
      <c r="V723" s="1315"/>
      <c r="W723" s="1315"/>
      <c r="X723" s="1315"/>
      <c r="Y723" s="1315"/>
    </row>
    <row r="724" spans="1:25" x14ac:dyDescent="0.2">
      <c r="A724" s="1730"/>
      <c r="B724" s="1730"/>
      <c r="C724" s="1730"/>
      <c r="D724" s="1730"/>
      <c r="E724" s="1314"/>
      <c r="R724" s="1315"/>
      <c r="S724" s="1315"/>
      <c r="T724" s="1315"/>
      <c r="U724" s="1315"/>
      <c r="V724" s="1315"/>
      <c r="W724" s="1315"/>
      <c r="X724" s="1315"/>
      <c r="Y724" s="1315"/>
    </row>
    <row r="725" spans="1:25" x14ac:dyDescent="0.2">
      <c r="A725" s="1730"/>
      <c r="B725" s="1730"/>
      <c r="C725" s="1730"/>
      <c r="D725" s="1730"/>
      <c r="E725" s="1314"/>
      <c r="R725" s="1315"/>
      <c r="S725" s="1315"/>
      <c r="T725" s="1315"/>
      <c r="U725" s="1315"/>
      <c r="V725" s="1315"/>
      <c r="W725" s="1315"/>
      <c r="X725" s="1315"/>
      <c r="Y725" s="1315"/>
    </row>
    <row r="726" spans="1:25" x14ac:dyDescent="0.2">
      <c r="A726" s="1730"/>
      <c r="B726" s="1730"/>
      <c r="C726" s="1730"/>
      <c r="D726" s="1730"/>
      <c r="E726" s="1314"/>
      <c r="R726" s="1315"/>
      <c r="S726" s="1315"/>
      <c r="T726" s="1315"/>
      <c r="U726" s="1315"/>
      <c r="V726" s="1315"/>
      <c r="W726" s="1315"/>
      <c r="X726" s="1315"/>
      <c r="Y726" s="1315"/>
    </row>
    <row r="727" spans="1:25" x14ac:dyDescent="0.2">
      <c r="A727" s="1730"/>
      <c r="B727" s="1730"/>
      <c r="C727" s="1730"/>
      <c r="D727" s="1730"/>
      <c r="E727" s="1314"/>
      <c r="R727" s="1315"/>
      <c r="S727" s="1315"/>
      <c r="T727" s="1315"/>
      <c r="U727" s="1315"/>
      <c r="V727" s="1315"/>
      <c r="W727" s="1315"/>
      <c r="X727" s="1315"/>
      <c r="Y727" s="1315"/>
    </row>
    <row r="728" spans="1:25" x14ac:dyDescent="0.2">
      <c r="A728" s="1730"/>
      <c r="B728" s="1730"/>
      <c r="C728" s="1730"/>
      <c r="D728" s="1730"/>
      <c r="E728" s="1314"/>
      <c r="R728" s="1315"/>
      <c r="S728" s="1315"/>
      <c r="T728" s="1315"/>
      <c r="U728" s="1315"/>
      <c r="V728" s="1315"/>
      <c r="W728" s="1315"/>
      <c r="X728" s="1315"/>
      <c r="Y728" s="1315"/>
    </row>
    <row r="729" spans="1:25" x14ac:dyDescent="0.2">
      <c r="A729" s="1730"/>
      <c r="B729" s="1730"/>
      <c r="C729" s="1730"/>
      <c r="D729" s="1730"/>
      <c r="E729" s="1314"/>
      <c r="R729" s="1315"/>
      <c r="S729" s="1315"/>
      <c r="T729" s="1315"/>
      <c r="U729" s="1315"/>
      <c r="V729" s="1315"/>
      <c r="W729" s="1315"/>
      <c r="X729" s="1315"/>
      <c r="Y729" s="1315"/>
    </row>
    <row r="730" spans="1:25" x14ac:dyDescent="0.2">
      <c r="A730" s="1730"/>
      <c r="B730" s="1730"/>
      <c r="C730" s="1730"/>
      <c r="D730" s="1730"/>
      <c r="E730" s="1314"/>
      <c r="R730" s="1315"/>
      <c r="S730" s="1315"/>
      <c r="T730" s="1315"/>
      <c r="U730" s="1315"/>
      <c r="V730" s="1315"/>
      <c r="W730" s="1315"/>
      <c r="X730" s="1315"/>
      <c r="Y730" s="1315"/>
    </row>
    <row r="731" spans="1:25" x14ac:dyDescent="0.2">
      <c r="A731" s="1730"/>
      <c r="B731" s="1730"/>
      <c r="C731" s="1730"/>
      <c r="D731" s="1730"/>
      <c r="E731" s="1314"/>
      <c r="R731" s="1315"/>
      <c r="S731" s="1315"/>
      <c r="T731" s="1315"/>
      <c r="U731" s="1315"/>
      <c r="V731" s="1315"/>
      <c r="W731" s="1315"/>
      <c r="X731" s="1315"/>
      <c r="Y731" s="1315"/>
    </row>
    <row r="732" spans="1:25" x14ac:dyDescent="0.2">
      <c r="A732" s="1730"/>
      <c r="B732" s="1730"/>
      <c r="C732" s="1730"/>
      <c r="D732" s="1730"/>
      <c r="E732" s="1314"/>
      <c r="R732" s="1315"/>
      <c r="S732" s="1315"/>
      <c r="T732" s="1315"/>
      <c r="U732" s="1315"/>
      <c r="V732" s="1315"/>
      <c r="W732" s="1315"/>
      <c r="X732" s="1315"/>
      <c r="Y732" s="1315"/>
    </row>
    <row r="733" spans="1:25" x14ac:dyDescent="0.2">
      <c r="A733" s="1730"/>
      <c r="B733" s="1730"/>
      <c r="C733" s="1730"/>
      <c r="D733" s="1730"/>
      <c r="E733" s="1314"/>
      <c r="R733" s="1315"/>
      <c r="S733" s="1315"/>
      <c r="T733" s="1315"/>
      <c r="U733" s="1315"/>
      <c r="V733" s="1315"/>
      <c r="W733" s="1315"/>
      <c r="X733" s="1315"/>
      <c r="Y733" s="1315"/>
    </row>
    <row r="734" spans="1:25" x14ac:dyDescent="0.2">
      <c r="A734" s="1730"/>
      <c r="B734" s="1730"/>
      <c r="C734" s="1730"/>
      <c r="D734" s="1730"/>
      <c r="E734" s="1314"/>
      <c r="R734" s="1315"/>
      <c r="S734" s="1315"/>
      <c r="T734" s="1315"/>
      <c r="U734" s="1315"/>
      <c r="V734" s="1315"/>
      <c r="W734" s="1315"/>
      <c r="X734" s="1315"/>
      <c r="Y734" s="1315"/>
    </row>
    <row r="735" spans="1:25" x14ac:dyDescent="0.2">
      <c r="A735" s="1730"/>
      <c r="B735" s="1730"/>
      <c r="C735" s="1730"/>
      <c r="D735" s="1730"/>
      <c r="E735" s="1314"/>
      <c r="R735" s="1315"/>
      <c r="S735" s="1315"/>
      <c r="T735" s="1315"/>
      <c r="U735" s="1315"/>
      <c r="V735" s="1315"/>
      <c r="W735" s="1315"/>
      <c r="X735" s="1315"/>
      <c r="Y735" s="1315"/>
    </row>
    <row r="736" spans="1:25" x14ac:dyDescent="0.2">
      <c r="A736" s="1730"/>
      <c r="B736" s="1730"/>
      <c r="C736" s="1730"/>
      <c r="D736" s="1730"/>
      <c r="E736" s="1314"/>
      <c r="R736" s="1315"/>
      <c r="S736" s="1315"/>
      <c r="T736" s="1315"/>
      <c r="U736" s="1315"/>
      <c r="V736" s="1315"/>
      <c r="W736" s="1315"/>
      <c r="X736" s="1315"/>
      <c r="Y736" s="1315"/>
    </row>
    <row r="737" spans="1:25" x14ac:dyDescent="0.2">
      <c r="A737" s="1730"/>
      <c r="B737" s="1730"/>
      <c r="C737" s="1730"/>
      <c r="D737" s="1730"/>
      <c r="E737" s="1314"/>
      <c r="R737" s="1315"/>
      <c r="S737" s="1315"/>
      <c r="T737" s="1315"/>
      <c r="U737" s="1315"/>
      <c r="V737" s="1315"/>
      <c r="W737" s="1315"/>
      <c r="X737" s="1315"/>
      <c r="Y737" s="1315"/>
    </row>
    <row r="738" spans="1:25" x14ac:dyDescent="0.2">
      <c r="A738" s="1730"/>
      <c r="B738" s="1730"/>
      <c r="C738" s="1730"/>
      <c r="D738" s="1730"/>
      <c r="E738" s="1314"/>
      <c r="R738" s="1315"/>
      <c r="S738" s="1315"/>
      <c r="T738" s="1315"/>
      <c r="U738" s="1315"/>
      <c r="V738" s="1315"/>
      <c r="W738" s="1315"/>
      <c r="X738" s="1315"/>
      <c r="Y738" s="1315"/>
    </row>
    <row r="739" spans="1:25" x14ac:dyDescent="0.2">
      <c r="A739" s="1730"/>
      <c r="B739" s="1730"/>
      <c r="C739" s="1730"/>
      <c r="D739" s="1730"/>
      <c r="E739" s="1314"/>
      <c r="R739" s="1315"/>
      <c r="S739" s="1315"/>
      <c r="T739" s="1315"/>
      <c r="U739" s="1315"/>
      <c r="V739" s="1315"/>
      <c r="W739" s="1315"/>
      <c r="X739" s="1315"/>
      <c r="Y739" s="1315"/>
    </row>
    <row r="740" spans="1:25" x14ac:dyDescent="0.2">
      <c r="A740" s="1730"/>
      <c r="B740" s="1730"/>
      <c r="C740" s="1730"/>
      <c r="D740" s="1730"/>
      <c r="E740" s="1314"/>
      <c r="R740" s="1315"/>
      <c r="S740" s="1315"/>
      <c r="T740" s="1315"/>
      <c r="U740" s="1315"/>
      <c r="V740" s="1315"/>
      <c r="W740" s="1315"/>
      <c r="X740" s="1315"/>
      <c r="Y740" s="1315"/>
    </row>
    <row r="741" spans="1:25" x14ac:dyDescent="0.2">
      <c r="A741" s="1730"/>
      <c r="B741" s="1730"/>
      <c r="C741" s="1730"/>
      <c r="D741" s="1730"/>
      <c r="E741" s="1314"/>
      <c r="R741" s="1315"/>
      <c r="S741" s="1315"/>
      <c r="T741" s="1315"/>
      <c r="U741" s="1315"/>
      <c r="V741" s="1315"/>
      <c r="W741" s="1315"/>
      <c r="X741" s="1315"/>
      <c r="Y741" s="1315"/>
    </row>
    <row r="742" spans="1:25" x14ac:dyDescent="0.2">
      <c r="A742" s="1730"/>
      <c r="B742" s="1730"/>
      <c r="C742" s="1730"/>
      <c r="D742" s="1730"/>
      <c r="E742" s="1314"/>
      <c r="R742" s="1315"/>
      <c r="S742" s="1315"/>
      <c r="T742" s="1315"/>
      <c r="U742" s="1315"/>
      <c r="V742" s="1315"/>
      <c r="W742" s="1315"/>
      <c r="X742" s="1315"/>
      <c r="Y742" s="1315"/>
    </row>
    <row r="743" spans="1:25" x14ac:dyDescent="0.2">
      <c r="A743" s="1730"/>
      <c r="B743" s="1730"/>
      <c r="C743" s="1730"/>
      <c r="D743" s="1730"/>
      <c r="E743" s="1314"/>
      <c r="R743" s="1315"/>
      <c r="S743" s="1315"/>
      <c r="T743" s="1315"/>
      <c r="U743" s="1315"/>
      <c r="V743" s="1315"/>
      <c r="W743" s="1315"/>
      <c r="X743" s="1315"/>
      <c r="Y743" s="1315"/>
    </row>
    <row r="744" spans="1:25" x14ac:dyDescent="0.2">
      <c r="A744" s="1730"/>
      <c r="B744" s="1730"/>
      <c r="C744" s="1730"/>
      <c r="D744" s="1730"/>
      <c r="E744" s="1314"/>
      <c r="R744" s="1315"/>
      <c r="S744" s="1315"/>
      <c r="T744" s="1315"/>
      <c r="U744" s="1315"/>
      <c r="V744" s="1315"/>
      <c r="W744" s="1315"/>
      <c r="X744" s="1315"/>
      <c r="Y744" s="1315"/>
    </row>
    <row r="745" spans="1:25" x14ac:dyDescent="0.2">
      <c r="A745" s="1730"/>
      <c r="B745" s="1730"/>
      <c r="C745" s="1730"/>
      <c r="D745" s="1730"/>
      <c r="E745" s="1314"/>
      <c r="R745" s="1315"/>
      <c r="S745" s="1315"/>
      <c r="T745" s="1315"/>
      <c r="U745" s="1315"/>
      <c r="V745" s="1315"/>
      <c r="W745" s="1315"/>
      <c r="X745" s="1315"/>
      <c r="Y745" s="1315"/>
    </row>
    <row r="746" spans="1:25" x14ac:dyDescent="0.2">
      <c r="A746" s="1730"/>
      <c r="B746" s="1730"/>
      <c r="C746" s="1730"/>
      <c r="D746" s="1730"/>
      <c r="E746" s="1314"/>
      <c r="R746" s="1315"/>
      <c r="S746" s="1315"/>
      <c r="T746" s="1315"/>
      <c r="U746" s="1315"/>
      <c r="V746" s="1315"/>
      <c r="W746" s="1315"/>
      <c r="X746" s="1315"/>
      <c r="Y746" s="1315"/>
    </row>
    <row r="747" spans="1:25" x14ac:dyDescent="0.2">
      <c r="A747" s="1730"/>
      <c r="B747" s="1730"/>
      <c r="C747" s="1730"/>
      <c r="D747" s="1730"/>
      <c r="E747" s="1314"/>
      <c r="R747" s="1315"/>
      <c r="S747" s="1315"/>
      <c r="T747" s="1315"/>
      <c r="U747" s="1315"/>
      <c r="V747" s="1315"/>
      <c r="W747" s="1315"/>
      <c r="X747" s="1315"/>
      <c r="Y747" s="1315"/>
    </row>
    <row r="748" spans="1:25" x14ac:dyDescent="0.2">
      <c r="A748" s="1730"/>
      <c r="B748" s="1730"/>
      <c r="C748" s="1730"/>
      <c r="D748" s="1730"/>
      <c r="E748" s="1314"/>
      <c r="R748" s="1315"/>
      <c r="S748" s="1315"/>
      <c r="T748" s="1315"/>
      <c r="U748" s="1315"/>
      <c r="V748" s="1315"/>
      <c r="W748" s="1315"/>
      <c r="X748" s="1315"/>
      <c r="Y748" s="1315"/>
    </row>
    <row r="749" spans="1:25" x14ac:dyDescent="0.2">
      <c r="A749" s="1730"/>
      <c r="B749" s="1730"/>
      <c r="C749" s="1730"/>
      <c r="D749" s="1730"/>
      <c r="E749" s="1314"/>
      <c r="R749" s="1315"/>
      <c r="S749" s="1315"/>
      <c r="T749" s="1315"/>
      <c r="U749" s="1315"/>
      <c r="V749" s="1315"/>
      <c r="W749" s="1315"/>
      <c r="X749" s="1315"/>
      <c r="Y749" s="1315"/>
    </row>
    <row r="750" spans="1:25" x14ac:dyDescent="0.2">
      <c r="A750" s="1730"/>
      <c r="B750" s="1730"/>
      <c r="C750" s="1730"/>
      <c r="D750" s="1730"/>
      <c r="E750" s="1314"/>
      <c r="R750" s="1315"/>
      <c r="S750" s="1315"/>
      <c r="T750" s="1315"/>
      <c r="U750" s="1315"/>
      <c r="V750" s="1315"/>
      <c r="W750" s="1315"/>
      <c r="X750" s="1315"/>
      <c r="Y750" s="1315"/>
    </row>
    <row r="751" spans="1:25" x14ac:dyDescent="0.2">
      <c r="A751" s="1730"/>
      <c r="B751" s="1730"/>
      <c r="C751" s="1730"/>
      <c r="D751" s="1730"/>
      <c r="E751" s="1314"/>
      <c r="R751" s="1315"/>
      <c r="S751" s="1315"/>
      <c r="T751" s="1315"/>
      <c r="U751" s="1315"/>
      <c r="V751" s="1315"/>
      <c r="W751" s="1315"/>
      <c r="X751" s="1315"/>
      <c r="Y751" s="1315"/>
    </row>
    <row r="752" spans="1:25" x14ac:dyDescent="0.2">
      <c r="A752" s="1730"/>
      <c r="B752" s="1730"/>
      <c r="C752" s="1730"/>
      <c r="D752" s="1730"/>
      <c r="E752" s="1314"/>
      <c r="R752" s="1315"/>
      <c r="S752" s="1315"/>
      <c r="T752" s="1315"/>
      <c r="U752" s="1315"/>
      <c r="V752" s="1315"/>
      <c r="W752" s="1315"/>
      <c r="X752" s="1315"/>
      <c r="Y752" s="1315"/>
    </row>
    <row r="753" spans="1:25" x14ac:dyDescent="0.2">
      <c r="A753" s="1730"/>
      <c r="B753" s="1730"/>
      <c r="C753" s="1730"/>
      <c r="D753" s="1730"/>
      <c r="E753" s="1314"/>
      <c r="R753" s="1315"/>
      <c r="S753" s="1315"/>
      <c r="T753" s="1315"/>
      <c r="U753" s="1315"/>
      <c r="V753" s="1315"/>
      <c r="W753" s="1315"/>
      <c r="X753" s="1315"/>
      <c r="Y753" s="1315"/>
    </row>
    <row r="754" spans="1:25" x14ac:dyDescent="0.2">
      <c r="A754" s="1730"/>
      <c r="B754" s="1730"/>
      <c r="C754" s="1730"/>
      <c r="D754" s="1730"/>
      <c r="E754" s="1314"/>
      <c r="R754" s="1315"/>
      <c r="S754" s="1315"/>
      <c r="T754" s="1315"/>
      <c r="U754" s="1315"/>
      <c r="V754" s="1315"/>
      <c r="W754" s="1315"/>
      <c r="X754" s="1315"/>
      <c r="Y754" s="1315"/>
    </row>
    <row r="755" spans="1:25" x14ac:dyDescent="0.2">
      <c r="A755" s="1730"/>
      <c r="B755" s="1730"/>
      <c r="C755" s="1730"/>
      <c r="D755" s="1730"/>
      <c r="E755" s="1314"/>
      <c r="R755" s="1315"/>
      <c r="S755" s="1315"/>
      <c r="T755" s="1315"/>
      <c r="U755" s="1315"/>
      <c r="V755" s="1315"/>
      <c r="W755" s="1315"/>
      <c r="X755" s="1315"/>
      <c r="Y755" s="1315"/>
    </row>
    <row r="756" spans="1:25" x14ac:dyDescent="0.2">
      <c r="A756" s="1730"/>
      <c r="B756" s="1730"/>
      <c r="C756" s="1730"/>
      <c r="D756" s="1730"/>
      <c r="E756" s="1314"/>
      <c r="R756" s="1315"/>
      <c r="S756" s="1315"/>
      <c r="T756" s="1315"/>
      <c r="U756" s="1315"/>
      <c r="V756" s="1315"/>
      <c r="W756" s="1315"/>
      <c r="X756" s="1315"/>
      <c r="Y756" s="1315"/>
    </row>
    <row r="757" spans="1:25" x14ac:dyDescent="0.2">
      <c r="A757" s="1730"/>
      <c r="B757" s="1730"/>
      <c r="C757" s="1730"/>
      <c r="D757" s="1730"/>
      <c r="E757" s="1314"/>
      <c r="R757" s="1315"/>
      <c r="S757" s="1315"/>
      <c r="T757" s="1315"/>
      <c r="U757" s="1315"/>
      <c r="V757" s="1315"/>
      <c r="W757" s="1315"/>
      <c r="X757" s="1315"/>
      <c r="Y757" s="1315"/>
    </row>
    <row r="758" spans="1:25" x14ac:dyDescent="0.2">
      <c r="A758" s="1730"/>
      <c r="B758" s="1730"/>
      <c r="C758" s="1730"/>
      <c r="D758" s="1730"/>
      <c r="E758" s="1314"/>
      <c r="R758" s="1315"/>
      <c r="S758" s="1315"/>
      <c r="T758" s="1315"/>
      <c r="U758" s="1315"/>
      <c r="V758" s="1315"/>
      <c r="W758" s="1315"/>
      <c r="X758" s="1315"/>
      <c r="Y758" s="1315"/>
    </row>
    <row r="759" spans="1:25" x14ac:dyDescent="0.2">
      <c r="A759" s="1730"/>
      <c r="B759" s="1730"/>
      <c r="C759" s="1730"/>
      <c r="D759" s="1730"/>
      <c r="E759" s="1314"/>
      <c r="R759" s="1315"/>
      <c r="S759" s="1315"/>
      <c r="T759" s="1315"/>
      <c r="U759" s="1315"/>
      <c r="V759" s="1315"/>
      <c r="W759" s="1315"/>
      <c r="X759" s="1315"/>
      <c r="Y759" s="1315"/>
    </row>
    <row r="760" spans="1:25" x14ac:dyDescent="0.2">
      <c r="A760" s="1730"/>
      <c r="B760" s="1730"/>
      <c r="C760" s="1730"/>
      <c r="D760" s="1730"/>
      <c r="E760" s="1314"/>
      <c r="R760" s="1315"/>
      <c r="S760" s="1315"/>
      <c r="T760" s="1315"/>
      <c r="U760" s="1315"/>
      <c r="V760" s="1315"/>
      <c r="W760" s="1315"/>
      <c r="X760" s="1315"/>
      <c r="Y760" s="1315"/>
    </row>
    <row r="761" spans="1:25" x14ac:dyDescent="0.2">
      <c r="A761" s="1730"/>
      <c r="B761" s="1730"/>
      <c r="C761" s="1730"/>
      <c r="D761" s="1730"/>
      <c r="E761" s="1314"/>
      <c r="R761" s="1315"/>
      <c r="S761" s="1315"/>
      <c r="T761" s="1315"/>
      <c r="U761" s="1315"/>
      <c r="V761" s="1315"/>
      <c r="W761" s="1315"/>
      <c r="X761" s="1315"/>
      <c r="Y761" s="1315"/>
    </row>
    <row r="762" spans="1:25" x14ac:dyDescent="0.2">
      <c r="A762" s="1730"/>
      <c r="B762" s="1730"/>
      <c r="C762" s="1730"/>
      <c r="D762" s="1730"/>
      <c r="E762" s="1314"/>
      <c r="R762" s="1315"/>
      <c r="S762" s="1315"/>
      <c r="T762" s="1315"/>
      <c r="U762" s="1315"/>
      <c r="V762" s="1315"/>
      <c r="W762" s="1315"/>
      <c r="X762" s="1315"/>
      <c r="Y762" s="1315"/>
    </row>
    <row r="763" spans="1:25" x14ac:dyDescent="0.2">
      <c r="A763" s="1730"/>
      <c r="B763" s="1730"/>
      <c r="C763" s="1730"/>
      <c r="D763" s="1730"/>
      <c r="E763" s="1314"/>
      <c r="R763" s="1315"/>
      <c r="S763" s="1315"/>
      <c r="T763" s="1315"/>
      <c r="U763" s="1315"/>
      <c r="V763" s="1315"/>
      <c r="W763" s="1315"/>
      <c r="X763" s="1315"/>
      <c r="Y763" s="1315"/>
    </row>
    <row r="764" spans="1:25" x14ac:dyDescent="0.2">
      <c r="A764" s="1730"/>
      <c r="B764" s="1730"/>
      <c r="C764" s="1730"/>
      <c r="D764" s="1730"/>
      <c r="E764" s="1314"/>
      <c r="R764" s="1315"/>
      <c r="S764" s="1315"/>
      <c r="T764" s="1315"/>
      <c r="U764" s="1315"/>
      <c r="V764" s="1315"/>
      <c r="W764" s="1315"/>
      <c r="X764" s="1315"/>
      <c r="Y764" s="1315"/>
    </row>
    <row r="765" spans="1:25" x14ac:dyDescent="0.2">
      <c r="A765" s="1730"/>
      <c r="B765" s="1730"/>
      <c r="C765" s="1730"/>
      <c r="D765" s="1730"/>
      <c r="E765" s="1314"/>
      <c r="R765" s="1315"/>
      <c r="S765" s="1315"/>
      <c r="T765" s="1315"/>
      <c r="U765" s="1315"/>
      <c r="V765" s="1315"/>
      <c r="W765" s="1315"/>
      <c r="X765" s="1315"/>
      <c r="Y765" s="1315"/>
    </row>
    <row r="766" spans="1:25" x14ac:dyDescent="0.2">
      <c r="A766" s="1730"/>
      <c r="B766" s="1730"/>
      <c r="C766" s="1730"/>
      <c r="D766" s="1730"/>
      <c r="E766" s="1314"/>
      <c r="R766" s="1315"/>
      <c r="S766" s="1315"/>
      <c r="T766" s="1315"/>
      <c r="U766" s="1315"/>
      <c r="V766" s="1315"/>
      <c r="W766" s="1315"/>
      <c r="X766" s="1315"/>
      <c r="Y766" s="1315"/>
    </row>
    <row r="767" spans="1:25" x14ac:dyDescent="0.2">
      <c r="A767" s="1730"/>
      <c r="B767" s="1730"/>
      <c r="C767" s="1730"/>
      <c r="D767" s="1730"/>
      <c r="E767" s="1314"/>
      <c r="R767" s="1315"/>
      <c r="S767" s="1315"/>
      <c r="T767" s="1315"/>
      <c r="U767" s="1315"/>
      <c r="V767" s="1315"/>
      <c r="W767" s="1315"/>
      <c r="X767" s="1315"/>
      <c r="Y767" s="1315"/>
    </row>
    <row r="768" spans="1:25" x14ac:dyDescent="0.2">
      <c r="A768" s="1730"/>
      <c r="B768" s="1730"/>
      <c r="C768" s="1730"/>
      <c r="D768" s="1730"/>
      <c r="E768" s="1314"/>
      <c r="R768" s="1315"/>
      <c r="S768" s="1315"/>
      <c r="T768" s="1315"/>
      <c r="U768" s="1315"/>
      <c r="V768" s="1315"/>
      <c r="W768" s="1315"/>
      <c r="X768" s="1315"/>
      <c r="Y768" s="1315"/>
    </row>
    <row r="769" spans="1:25" x14ac:dyDescent="0.2">
      <c r="A769" s="1730"/>
      <c r="B769" s="1730"/>
      <c r="C769" s="1730"/>
      <c r="D769" s="1730"/>
      <c r="E769" s="1314"/>
      <c r="R769" s="1315"/>
      <c r="S769" s="1315"/>
      <c r="T769" s="1315"/>
      <c r="U769" s="1315"/>
      <c r="V769" s="1315"/>
      <c r="W769" s="1315"/>
      <c r="X769" s="1315"/>
      <c r="Y769" s="1315"/>
    </row>
    <row r="770" spans="1:25" x14ac:dyDescent="0.2">
      <c r="A770" s="1730"/>
      <c r="B770" s="1730"/>
      <c r="C770" s="1730"/>
      <c r="D770" s="1730"/>
      <c r="E770" s="1314"/>
      <c r="R770" s="1315"/>
      <c r="S770" s="1315"/>
      <c r="T770" s="1315"/>
      <c r="U770" s="1315"/>
      <c r="V770" s="1315"/>
      <c r="W770" s="1315"/>
      <c r="X770" s="1315"/>
      <c r="Y770" s="1315"/>
    </row>
    <row r="771" spans="1:25" x14ac:dyDescent="0.2">
      <c r="A771" s="1730"/>
      <c r="B771" s="1730"/>
      <c r="C771" s="1730"/>
      <c r="D771" s="1730"/>
      <c r="E771" s="1314"/>
      <c r="R771" s="1315"/>
      <c r="S771" s="1315"/>
      <c r="T771" s="1315"/>
      <c r="U771" s="1315"/>
      <c r="V771" s="1315"/>
      <c r="W771" s="1315"/>
      <c r="X771" s="1315"/>
      <c r="Y771" s="1315"/>
    </row>
    <row r="772" spans="1:25" x14ac:dyDescent="0.2">
      <c r="A772" s="1730"/>
      <c r="B772" s="1730"/>
      <c r="C772" s="1730"/>
      <c r="D772" s="1730"/>
      <c r="E772" s="1314"/>
      <c r="R772" s="1315"/>
      <c r="S772" s="1315"/>
      <c r="T772" s="1315"/>
      <c r="U772" s="1315"/>
      <c r="V772" s="1315"/>
      <c r="W772" s="1315"/>
      <c r="X772" s="1315"/>
      <c r="Y772" s="1315"/>
    </row>
    <row r="773" spans="1:25" x14ac:dyDescent="0.2">
      <c r="A773" s="1730"/>
      <c r="B773" s="1730"/>
      <c r="C773" s="1730"/>
      <c r="D773" s="1730"/>
      <c r="E773" s="1314"/>
      <c r="R773" s="1315"/>
      <c r="S773" s="1315"/>
      <c r="T773" s="1315"/>
      <c r="U773" s="1315"/>
      <c r="V773" s="1315"/>
      <c r="W773" s="1315"/>
      <c r="X773" s="1315"/>
      <c r="Y773" s="1315"/>
    </row>
    <row r="774" spans="1:25" x14ac:dyDescent="0.2">
      <c r="A774" s="1730"/>
      <c r="B774" s="1730"/>
      <c r="C774" s="1730"/>
      <c r="D774" s="1730"/>
      <c r="E774" s="1314"/>
      <c r="R774" s="1315"/>
      <c r="S774" s="1315"/>
      <c r="T774" s="1315"/>
      <c r="U774" s="1315"/>
      <c r="V774" s="1315"/>
      <c r="W774" s="1315"/>
      <c r="X774" s="1315"/>
      <c r="Y774" s="1315"/>
    </row>
    <row r="775" spans="1:25" x14ac:dyDescent="0.2">
      <c r="A775" s="1730"/>
      <c r="B775" s="1730"/>
      <c r="C775" s="1730"/>
      <c r="D775" s="1730"/>
      <c r="E775" s="1314"/>
      <c r="R775" s="1315"/>
      <c r="S775" s="1315"/>
      <c r="T775" s="1315"/>
      <c r="U775" s="1315"/>
      <c r="V775" s="1315"/>
      <c r="W775" s="1315"/>
      <c r="X775" s="1315"/>
      <c r="Y775" s="1315"/>
    </row>
    <row r="776" spans="1:25" x14ac:dyDescent="0.2">
      <c r="A776" s="1730"/>
      <c r="B776" s="1730"/>
      <c r="C776" s="1730"/>
      <c r="D776" s="1730"/>
      <c r="E776" s="1314"/>
      <c r="R776" s="1315"/>
      <c r="S776" s="1315"/>
      <c r="T776" s="1315"/>
      <c r="U776" s="1315"/>
      <c r="V776" s="1315"/>
      <c r="W776" s="1315"/>
      <c r="X776" s="1315"/>
      <c r="Y776" s="1315"/>
    </row>
    <row r="777" spans="1:25" x14ac:dyDescent="0.2">
      <c r="A777" s="1730"/>
      <c r="B777" s="1730"/>
      <c r="C777" s="1730"/>
      <c r="D777" s="1730"/>
      <c r="E777" s="1314"/>
      <c r="R777" s="1315"/>
      <c r="S777" s="1315"/>
      <c r="T777" s="1315"/>
      <c r="U777" s="1315"/>
      <c r="V777" s="1315"/>
      <c r="W777" s="1315"/>
      <c r="X777" s="1315"/>
      <c r="Y777" s="1315"/>
    </row>
    <row r="778" spans="1:25" x14ac:dyDescent="0.2">
      <c r="A778" s="1730"/>
      <c r="B778" s="1730"/>
      <c r="C778" s="1730"/>
      <c r="D778" s="1730"/>
      <c r="E778" s="1314"/>
      <c r="R778" s="1315"/>
      <c r="S778" s="1315"/>
      <c r="T778" s="1315"/>
      <c r="U778" s="1315"/>
      <c r="V778" s="1315"/>
      <c r="W778" s="1315"/>
      <c r="X778" s="1315"/>
      <c r="Y778" s="1315"/>
    </row>
    <row r="779" spans="1:25" x14ac:dyDescent="0.2">
      <c r="A779" s="1730"/>
      <c r="B779" s="1730"/>
      <c r="C779" s="1730"/>
      <c r="D779" s="1730"/>
      <c r="E779" s="1314"/>
      <c r="R779" s="1315"/>
      <c r="S779" s="1315"/>
      <c r="T779" s="1315"/>
      <c r="U779" s="1315"/>
      <c r="V779" s="1315"/>
      <c r="W779" s="1315"/>
      <c r="X779" s="1315"/>
      <c r="Y779" s="1315"/>
    </row>
    <row r="780" spans="1:25" x14ac:dyDescent="0.2">
      <c r="A780" s="1730"/>
      <c r="B780" s="1730"/>
      <c r="C780" s="1730"/>
      <c r="D780" s="1730"/>
      <c r="E780" s="1314"/>
      <c r="R780" s="1315"/>
      <c r="S780" s="1315"/>
      <c r="T780" s="1315"/>
      <c r="U780" s="1315"/>
      <c r="V780" s="1315"/>
      <c r="W780" s="1315"/>
      <c r="X780" s="1315"/>
      <c r="Y780" s="1315"/>
    </row>
    <row r="781" spans="1:25" x14ac:dyDescent="0.2">
      <c r="A781" s="1730"/>
      <c r="B781" s="1730"/>
      <c r="C781" s="1730"/>
      <c r="D781" s="1730"/>
      <c r="E781" s="1314"/>
      <c r="R781" s="1315"/>
      <c r="S781" s="1315"/>
      <c r="T781" s="1315"/>
      <c r="U781" s="1315"/>
      <c r="V781" s="1315"/>
      <c r="W781" s="1315"/>
      <c r="X781" s="1315"/>
      <c r="Y781" s="1315"/>
    </row>
    <row r="782" spans="1:25" x14ac:dyDescent="0.2">
      <c r="A782" s="1730"/>
      <c r="B782" s="1730"/>
      <c r="C782" s="1730"/>
      <c r="D782" s="1730"/>
      <c r="E782" s="1314"/>
      <c r="R782" s="1315"/>
      <c r="S782" s="1315"/>
      <c r="T782" s="1315"/>
      <c r="U782" s="1315"/>
      <c r="V782" s="1315"/>
      <c r="W782" s="1315"/>
      <c r="X782" s="1315"/>
      <c r="Y782" s="1315"/>
    </row>
    <row r="783" spans="1:25" x14ac:dyDescent="0.2">
      <c r="A783" s="1730"/>
      <c r="B783" s="1730"/>
      <c r="C783" s="1730"/>
      <c r="D783" s="1730"/>
      <c r="E783" s="1314"/>
      <c r="R783" s="1315"/>
      <c r="S783" s="1315"/>
      <c r="T783" s="1315"/>
      <c r="U783" s="1315"/>
      <c r="V783" s="1315"/>
      <c r="W783" s="1315"/>
      <c r="X783" s="1315"/>
      <c r="Y783" s="1315"/>
    </row>
    <row r="784" spans="1:25" x14ac:dyDescent="0.2">
      <c r="A784" s="1730"/>
      <c r="B784" s="1730"/>
      <c r="C784" s="1730"/>
      <c r="D784" s="1730"/>
      <c r="E784" s="1314"/>
      <c r="R784" s="1315"/>
      <c r="S784" s="1315"/>
      <c r="T784" s="1315"/>
      <c r="U784" s="1315"/>
      <c r="V784" s="1315"/>
      <c r="W784" s="1315"/>
      <c r="X784" s="1315"/>
      <c r="Y784" s="1315"/>
    </row>
    <row r="785" spans="1:25" x14ac:dyDescent="0.2">
      <c r="A785" s="1730"/>
      <c r="B785" s="1730"/>
      <c r="C785" s="1730"/>
      <c r="D785" s="1730"/>
      <c r="E785" s="1314"/>
      <c r="R785" s="1315"/>
      <c r="S785" s="1315"/>
      <c r="T785" s="1315"/>
      <c r="U785" s="1315"/>
      <c r="V785" s="1315"/>
      <c r="W785" s="1315"/>
      <c r="X785" s="1315"/>
      <c r="Y785" s="1315"/>
    </row>
    <row r="786" spans="1:25" x14ac:dyDescent="0.2">
      <c r="A786" s="1730"/>
      <c r="B786" s="1730"/>
      <c r="C786" s="1730"/>
      <c r="D786" s="1730"/>
      <c r="E786" s="1314"/>
      <c r="R786" s="1315"/>
      <c r="S786" s="1315"/>
      <c r="T786" s="1315"/>
      <c r="U786" s="1315"/>
      <c r="V786" s="1315"/>
      <c r="W786" s="1315"/>
      <c r="X786" s="1315"/>
      <c r="Y786" s="1315"/>
    </row>
    <row r="787" spans="1:25" x14ac:dyDescent="0.2">
      <c r="A787" s="1730"/>
      <c r="B787" s="1730"/>
      <c r="C787" s="1730"/>
      <c r="D787" s="1730"/>
      <c r="E787" s="1314"/>
      <c r="R787" s="1315"/>
      <c r="S787" s="1315"/>
      <c r="T787" s="1315"/>
      <c r="U787" s="1315"/>
      <c r="V787" s="1315"/>
      <c r="W787" s="1315"/>
      <c r="X787" s="1315"/>
      <c r="Y787" s="1315"/>
    </row>
    <row r="788" spans="1:25" x14ac:dyDescent="0.2">
      <c r="A788" s="1730"/>
      <c r="B788" s="1730"/>
      <c r="C788" s="1730"/>
      <c r="D788" s="1730"/>
      <c r="E788" s="1314"/>
      <c r="R788" s="1315"/>
      <c r="S788" s="1315"/>
      <c r="T788" s="1315"/>
      <c r="U788" s="1315"/>
      <c r="V788" s="1315"/>
      <c r="W788" s="1315"/>
      <c r="X788" s="1315"/>
      <c r="Y788" s="1315"/>
    </row>
    <row r="789" spans="1:25" x14ac:dyDescent="0.2">
      <c r="A789" s="1730"/>
      <c r="B789" s="1730"/>
      <c r="C789" s="1730"/>
      <c r="D789" s="1730"/>
      <c r="E789" s="1314"/>
      <c r="R789" s="1315"/>
      <c r="S789" s="1315"/>
      <c r="T789" s="1315"/>
      <c r="U789" s="1315"/>
      <c r="V789" s="1315"/>
      <c r="W789" s="1315"/>
      <c r="X789" s="1315"/>
      <c r="Y789" s="1315"/>
    </row>
    <row r="790" spans="1:25" x14ac:dyDescent="0.2">
      <c r="A790" s="1730"/>
      <c r="B790" s="1730"/>
      <c r="C790" s="1730"/>
      <c r="D790" s="1730"/>
      <c r="E790" s="1314"/>
      <c r="R790" s="1315"/>
      <c r="S790" s="1315"/>
      <c r="T790" s="1315"/>
      <c r="U790" s="1315"/>
      <c r="V790" s="1315"/>
      <c r="W790" s="1315"/>
      <c r="X790" s="1315"/>
      <c r="Y790" s="1315"/>
    </row>
    <row r="791" spans="1:25" x14ac:dyDescent="0.2">
      <c r="A791" s="1730"/>
      <c r="B791" s="1730"/>
      <c r="C791" s="1730"/>
      <c r="D791" s="1730"/>
      <c r="E791" s="1314"/>
      <c r="R791" s="1315"/>
      <c r="S791" s="1315"/>
      <c r="T791" s="1315"/>
      <c r="U791" s="1315"/>
      <c r="V791" s="1315"/>
      <c r="W791" s="1315"/>
      <c r="X791" s="1315"/>
      <c r="Y791" s="1315"/>
    </row>
    <row r="792" spans="1:25" x14ac:dyDescent="0.2">
      <c r="A792" s="1730"/>
      <c r="B792" s="1730"/>
      <c r="C792" s="1730"/>
      <c r="D792" s="1730"/>
      <c r="E792" s="1314"/>
      <c r="R792" s="1315"/>
      <c r="S792" s="1315"/>
      <c r="T792" s="1315"/>
      <c r="U792" s="1315"/>
      <c r="V792" s="1315"/>
      <c r="W792" s="1315"/>
      <c r="X792" s="1315"/>
      <c r="Y792" s="1315"/>
    </row>
    <row r="793" spans="1:25" x14ac:dyDescent="0.2">
      <c r="A793" s="1730"/>
      <c r="B793" s="1730"/>
      <c r="C793" s="1730"/>
      <c r="D793" s="1730"/>
      <c r="E793" s="1314"/>
      <c r="R793" s="1315"/>
      <c r="S793" s="1315"/>
      <c r="T793" s="1315"/>
      <c r="U793" s="1315"/>
      <c r="V793" s="1315"/>
      <c r="W793" s="1315"/>
      <c r="X793" s="1315"/>
      <c r="Y793" s="1315"/>
    </row>
    <row r="794" spans="1:25" x14ac:dyDescent="0.2">
      <c r="A794" s="1730"/>
      <c r="B794" s="1730"/>
      <c r="C794" s="1730"/>
      <c r="D794" s="1730"/>
      <c r="E794" s="1314"/>
      <c r="R794" s="1315"/>
      <c r="S794" s="1315"/>
      <c r="T794" s="1315"/>
      <c r="U794" s="1315"/>
      <c r="V794" s="1315"/>
      <c r="W794" s="1315"/>
      <c r="X794" s="1315"/>
      <c r="Y794" s="1315"/>
    </row>
    <row r="795" spans="1:25" x14ac:dyDescent="0.2">
      <c r="A795" s="1730"/>
      <c r="B795" s="1730"/>
      <c r="C795" s="1730"/>
      <c r="D795" s="1730"/>
      <c r="E795" s="1314"/>
      <c r="R795" s="1315"/>
      <c r="S795" s="1315"/>
      <c r="T795" s="1315"/>
      <c r="U795" s="1315"/>
      <c r="V795" s="1315"/>
      <c r="W795" s="1315"/>
      <c r="X795" s="1315"/>
      <c r="Y795" s="1315"/>
    </row>
    <row r="796" spans="1:25" x14ac:dyDescent="0.2">
      <c r="A796" s="1730"/>
      <c r="B796" s="1730"/>
      <c r="C796" s="1730"/>
      <c r="D796" s="1730"/>
      <c r="E796" s="1314"/>
      <c r="R796" s="1315"/>
      <c r="S796" s="1315"/>
      <c r="T796" s="1315"/>
      <c r="U796" s="1315"/>
      <c r="V796" s="1315"/>
      <c r="W796" s="1315"/>
      <c r="X796" s="1315"/>
      <c r="Y796" s="1315"/>
    </row>
    <row r="797" spans="1:25" x14ac:dyDescent="0.2">
      <c r="A797" s="1730"/>
      <c r="B797" s="1730"/>
      <c r="C797" s="1730"/>
      <c r="D797" s="1730"/>
      <c r="E797" s="1314"/>
      <c r="R797" s="1315"/>
      <c r="S797" s="1315"/>
      <c r="T797" s="1315"/>
      <c r="U797" s="1315"/>
      <c r="V797" s="1315"/>
      <c r="W797" s="1315"/>
      <c r="X797" s="1315"/>
      <c r="Y797" s="1315"/>
    </row>
    <row r="798" spans="1:25" x14ac:dyDescent="0.2">
      <c r="A798" s="1730"/>
      <c r="B798" s="1730"/>
      <c r="C798" s="1730"/>
      <c r="D798" s="1730"/>
      <c r="E798" s="1314"/>
      <c r="R798" s="1315"/>
      <c r="S798" s="1315"/>
      <c r="T798" s="1315"/>
      <c r="U798" s="1315"/>
      <c r="V798" s="1315"/>
      <c r="W798" s="1315"/>
      <c r="X798" s="1315"/>
      <c r="Y798" s="1315"/>
    </row>
    <row r="799" spans="1:25" x14ac:dyDescent="0.2">
      <c r="A799" s="1730"/>
      <c r="B799" s="1730"/>
      <c r="C799" s="1730"/>
      <c r="D799" s="1730"/>
      <c r="E799" s="1314"/>
      <c r="R799" s="1315"/>
      <c r="S799" s="1315"/>
      <c r="T799" s="1315"/>
      <c r="U799" s="1315"/>
      <c r="V799" s="1315"/>
      <c r="W799" s="1315"/>
      <c r="X799" s="1315"/>
      <c r="Y799" s="1315"/>
    </row>
    <row r="800" spans="1:25" x14ac:dyDescent="0.2">
      <c r="A800" s="1730"/>
      <c r="B800" s="1730"/>
      <c r="C800" s="1730"/>
      <c r="D800" s="1730"/>
      <c r="E800" s="1314"/>
      <c r="R800" s="1315"/>
      <c r="S800" s="1315"/>
      <c r="T800" s="1315"/>
      <c r="U800" s="1315"/>
      <c r="V800" s="1315"/>
      <c r="W800" s="1315"/>
      <c r="X800" s="1315"/>
      <c r="Y800" s="1315"/>
    </row>
    <row r="801" spans="1:25" x14ac:dyDescent="0.2">
      <c r="A801" s="1730"/>
      <c r="B801" s="1730"/>
      <c r="C801" s="1730"/>
      <c r="D801" s="1730"/>
      <c r="E801" s="1314"/>
      <c r="R801" s="1315"/>
      <c r="S801" s="1315"/>
      <c r="T801" s="1315"/>
      <c r="U801" s="1315"/>
      <c r="V801" s="1315"/>
      <c r="W801" s="1315"/>
      <c r="X801" s="1315"/>
      <c r="Y801" s="1315"/>
    </row>
    <row r="802" spans="1:25" x14ac:dyDescent="0.2">
      <c r="A802" s="1730"/>
      <c r="B802" s="1730"/>
      <c r="C802" s="1730"/>
      <c r="D802" s="1730"/>
      <c r="E802" s="1314"/>
      <c r="R802" s="1315"/>
      <c r="S802" s="1315"/>
      <c r="T802" s="1315"/>
      <c r="U802" s="1315"/>
      <c r="V802" s="1315"/>
      <c r="W802" s="1315"/>
      <c r="X802" s="1315"/>
      <c r="Y802" s="1315"/>
    </row>
    <row r="803" spans="1:25" x14ac:dyDescent="0.2">
      <c r="A803" s="1730"/>
      <c r="B803" s="1730"/>
      <c r="C803" s="1730"/>
      <c r="D803" s="1730"/>
      <c r="E803" s="1314"/>
      <c r="R803" s="1315"/>
      <c r="S803" s="1315"/>
      <c r="T803" s="1315"/>
      <c r="U803" s="1315"/>
      <c r="V803" s="1315"/>
      <c r="W803" s="1315"/>
      <c r="X803" s="1315"/>
      <c r="Y803" s="1315"/>
    </row>
    <row r="804" spans="1:25" x14ac:dyDescent="0.2">
      <c r="A804" s="1730"/>
      <c r="B804" s="1730"/>
      <c r="C804" s="1730"/>
      <c r="D804" s="1730"/>
      <c r="E804" s="1314"/>
      <c r="R804" s="1315"/>
      <c r="S804" s="1315"/>
      <c r="T804" s="1315"/>
      <c r="U804" s="1315"/>
      <c r="V804" s="1315"/>
      <c r="W804" s="1315"/>
      <c r="X804" s="1315"/>
      <c r="Y804" s="1315"/>
    </row>
    <row r="805" spans="1:25" x14ac:dyDescent="0.2">
      <c r="A805" s="1730"/>
      <c r="B805" s="1730"/>
      <c r="C805" s="1730"/>
      <c r="D805" s="1730"/>
      <c r="E805" s="1314"/>
      <c r="R805" s="1315"/>
      <c r="S805" s="1315"/>
      <c r="T805" s="1315"/>
      <c r="U805" s="1315"/>
      <c r="V805" s="1315"/>
      <c r="W805" s="1315"/>
      <c r="X805" s="1315"/>
      <c r="Y805" s="1315"/>
    </row>
    <row r="806" spans="1:25" x14ac:dyDescent="0.2">
      <c r="A806" s="1730"/>
      <c r="B806" s="1730"/>
      <c r="C806" s="1730"/>
      <c r="D806" s="1730"/>
      <c r="E806" s="1314"/>
      <c r="R806" s="1315"/>
      <c r="S806" s="1315"/>
      <c r="T806" s="1315"/>
      <c r="U806" s="1315"/>
      <c r="V806" s="1315"/>
      <c r="W806" s="1315"/>
      <c r="X806" s="1315"/>
      <c r="Y806" s="1315"/>
    </row>
    <row r="807" spans="1:25" x14ac:dyDescent="0.2">
      <c r="A807" s="1730"/>
      <c r="B807" s="1730"/>
      <c r="C807" s="1730"/>
      <c r="D807" s="1730"/>
      <c r="E807" s="1314"/>
      <c r="R807" s="1315"/>
      <c r="S807" s="1315"/>
      <c r="T807" s="1315"/>
      <c r="U807" s="1315"/>
      <c r="V807" s="1315"/>
      <c r="W807" s="1315"/>
      <c r="X807" s="1315"/>
      <c r="Y807" s="1315"/>
    </row>
    <row r="808" spans="1:25" x14ac:dyDescent="0.2">
      <c r="A808" s="1730"/>
      <c r="B808" s="1730"/>
      <c r="C808" s="1730"/>
      <c r="D808" s="1730"/>
      <c r="E808" s="1314"/>
      <c r="R808" s="1315"/>
      <c r="S808" s="1315"/>
      <c r="T808" s="1315"/>
      <c r="U808" s="1315"/>
      <c r="V808" s="1315"/>
      <c r="W808" s="1315"/>
      <c r="X808" s="1315"/>
      <c r="Y808" s="1315"/>
    </row>
    <row r="809" spans="1:25" x14ac:dyDescent="0.2">
      <c r="A809" s="1730"/>
      <c r="B809" s="1730"/>
      <c r="C809" s="1730"/>
      <c r="D809" s="1730"/>
      <c r="E809" s="1314"/>
      <c r="R809" s="1315"/>
      <c r="S809" s="1315"/>
      <c r="T809" s="1315"/>
      <c r="U809" s="1315"/>
      <c r="V809" s="1315"/>
      <c r="W809" s="1315"/>
      <c r="X809" s="1315"/>
      <c r="Y809" s="1315"/>
    </row>
    <row r="810" spans="1:25" x14ac:dyDescent="0.2">
      <c r="A810" s="1730"/>
      <c r="B810" s="1730"/>
      <c r="C810" s="1730"/>
      <c r="D810" s="1730"/>
      <c r="E810" s="1314"/>
      <c r="R810" s="1315"/>
      <c r="S810" s="1315"/>
      <c r="T810" s="1315"/>
      <c r="U810" s="1315"/>
      <c r="V810" s="1315"/>
      <c r="W810" s="1315"/>
      <c r="X810" s="1315"/>
      <c r="Y810" s="1315"/>
    </row>
    <row r="811" spans="1:25" x14ac:dyDescent="0.2">
      <c r="A811" s="1730"/>
      <c r="B811" s="1730"/>
      <c r="C811" s="1730"/>
      <c r="D811" s="1730"/>
      <c r="E811" s="1314"/>
      <c r="R811" s="1315"/>
      <c r="S811" s="1315"/>
      <c r="T811" s="1315"/>
      <c r="U811" s="1315"/>
      <c r="V811" s="1315"/>
      <c r="W811" s="1315"/>
      <c r="X811" s="1315"/>
      <c r="Y811" s="1315"/>
    </row>
    <row r="812" spans="1:25" x14ac:dyDescent="0.2">
      <c r="A812" s="1730"/>
      <c r="B812" s="1730"/>
      <c r="C812" s="1730"/>
      <c r="D812" s="1730"/>
      <c r="E812" s="1314"/>
      <c r="R812" s="1315"/>
      <c r="S812" s="1315"/>
      <c r="T812" s="1315"/>
      <c r="U812" s="1315"/>
      <c r="V812" s="1315"/>
      <c r="W812" s="1315"/>
      <c r="X812" s="1315"/>
      <c r="Y812" s="1315"/>
    </row>
    <row r="813" spans="1:25" x14ac:dyDescent="0.2">
      <c r="A813" s="1730"/>
      <c r="B813" s="1730"/>
      <c r="C813" s="1730"/>
      <c r="D813" s="1730"/>
      <c r="E813" s="1314"/>
      <c r="R813" s="1315"/>
      <c r="S813" s="1315"/>
      <c r="T813" s="1315"/>
      <c r="U813" s="1315"/>
      <c r="V813" s="1315"/>
      <c r="W813" s="1315"/>
      <c r="X813" s="1315"/>
      <c r="Y813" s="1315"/>
    </row>
    <row r="814" spans="1:25" x14ac:dyDescent="0.2">
      <c r="A814" s="1730"/>
      <c r="B814" s="1730"/>
      <c r="C814" s="1730"/>
      <c r="D814" s="1730"/>
      <c r="E814" s="1314"/>
      <c r="R814" s="1315"/>
      <c r="S814" s="1315"/>
      <c r="T814" s="1315"/>
      <c r="U814" s="1315"/>
      <c r="V814" s="1315"/>
      <c r="W814" s="1315"/>
      <c r="X814" s="1315"/>
      <c r="Y814" s="1315"/>
    </row>
    <row r="815" spans="1:25" x14ac:dyDescent="0.2">
      <c r="A815" s="1730"/>
      <c r="B815" s="1730"/>
      <c r="C815" s="1730"/>
      <c r="D815" s="1730"/>
      <c r="E815" s="1314"/>
      <c r="R815" s="1315"/>
      <c r="S815" s="1315"/>
      <c r="T815" s="1315"/>
      <c r="U815" s="1315"/>
      <c r="V815" s="1315"/>
      <c r="W815" s="1315"/>
      <c r="X815" s="1315"/>
      <c r="Y815" s="1315"/>
    </row>
    <row r="816" spans="1:25" x14ac:dyDescent="0.2">
      <c r="A816" s="1730"/>
      <c r="B816" s="1730"/>
      <c r="C816" s="1730"/>
      <c r="D816" s="1730"/>
      <c r="E816" s="1314"/>
      <c r="R816" s="1315"/>
      <c r="S816" s="1315"/>
      <c r="T816" s="1315"/>
      <c r="U816" s="1315"/>
      <c r="V816" s="1315"/>
      <c r="W816" s="1315"/>
      <c r="X816" s="1315"/>
      <c r="Y816" s="1315"/>
    </row>
    <row r="817" spans="1:25" x14ac:dyDescent="0.2">
      <c r="A817" s="1730"/>
      <c r="B817" s="1730"/>
      <c r="C817" s="1730"/>
      <c r="D817" s="1730"/>
      <c r="E817" s="1314"/>
      <c r="R817" s="1315"/>
      <c r="S817" s="1315"/>
      <c r="T817" s="1315"/>
      <c r="U817" s="1315"/>
      <c r="V817" s="1315"/>
      <c r="W817" s="1315"/>
      <c r="X817" s="1315"/>
      <c r="Y817" s="1315"/>
    </row>
    <row r="818" spans="1:25" x14ac:dyDescent="0.2">
      <c r="A818" s="1730"/>
      <c r="B818" s="1730"/>
      <c r="C818" s="1730"/>
      <c r="D818" s="1730"/>
      <c r="E818" s="1314"/>
      <c r="R818" s="1315"/>
      <c r="S818" s="1315"/>
      <c r="T818" s="1315"/>
      <c r="U818" s="1315"/>
      <c r="V818" s="1315"/>
      <c r="W818" s="1315"/>
      <c r="X818" s="1315"/>
      <c r="Y818" s="1315"/>
    </row>
    <row r="819" spans="1:25" x14ac:dyDescent="0.2">
      <c r="A819" s="1730"/>
      <c r="B819" s="1730"/>
      <c r="C819" s="1730"/>
      <c r="D819" s="1730"/>
      <c r="E819" s="1314"/>
      <c r="R819" s="1315"/>
      <c r="S819" s="1315"/>
      <c r="T819" s="1315"/>
      <c r="U819" s="1315"/>
      <c r="V819" s="1315"/>
      <c r="W819" s="1315"/>
      <c r="X819" s="1315"/>
      <c r="Y819" s="1315"/>
    </row>
    <row r="820" spans="1:25" x14ac:dyDescent="0.2">
      <c r="A820" s="1730"/>
      <c r="B820" s="1730"/>
      <c r="C820" s="1730"/>
      <c r="D820" s="1730"/>
      <c r="E820" s="1314"/>
      <c r="R820" s="1315"/>
      <c r="S820" s="1315"/>
      <c r="T820" s="1315"/>
      <c r="U820" s="1315"/>
      <c r="V820" s="1315"/>
      <c r="W820" s="1315"/>
      <c r="X820" s="1315"/>
      <c r="Y820" s="1315"/>
    </row>
    <row r="821" spans="1:25" x14ac:dyDescent="0.2">
      <c r="A821" s="1730"/>
      <c r="B821" s="1730"/>
      <c r="C821" s="1730"/>
      <c r="D821" s="1730"/>
      <c r="E821" s="1314"/>
      <c r="R821" s="1315"/>
      <c r="S821" s="1315"/>
      <c r="T821" s="1315"/>
      <c r="U821" s="1315"/>
      <c r="V821" s="1315"/>
      <c r="W821" s="1315"/>
      <c r="X821" s="1315"/>
      <c r="Y821" s="1315"/>
    </row>
    <row r="822" spans="1:25" x14ac:dyDescent="0.2">
      <c r="A822" s="1730"/>
      <c r="B822" s="1730"/>
      <c r="C822" s="1730"/>
      <c r="D822" s="1730"/>
      <c r="E822" s="1314"/>
      <c r="R822" s="1315"/>
      <c r="S822" s="1315"/>
      <c r="T822" s="1315"/>
      <c r="U822" s="1315"/>
      <c r="V822" s="1315"/>
      <c r="W822" s="1315"/>
      <c r="X822" s="1315"/>
      <c r="Y822" s="1315"/>
    </row>
    <row r="823" spans="1:25" x14ac:dyDescent="0.2">
      <c r="A823" s="1730"/>
      <c r="B823" s="1730"/>
      <c r="C823" s="1730"/>
      <c r="D823" s="1730"/>
      <c r="E823" s="1314"/>
      <c r="R823" s="1315"/>
      <c r="S823" s="1315"/>
      <c r="T823" s="1315"/>
      <c r="U823" s="1315"/>
      <c r="V823" s="1315"/>
      <c r="W823" s="1315"/>
      <c r="X823" s="1315"/>
      <c r="Y823" s="1315"/>
    </row>
    <row r="824" spans="1:25" x14ac:dyDescent="0.2">
      <c r="A824" s="1730"/>
      <c r="B824" s="1730"/>
      <c r="C824" s="1730"/>
      <c r="D824" s="1730"/>
      <c r="E824" s="1314"/>
      <c r="R824" s="1315"/>
      <c r="S824" s="1315"/>
      <c r="T824" s="1315"/>
      <c r="U824" s="1315"/>
      <c r="V824" s="1315"/>
      <c r="W824" s="1315"/>
      <c r="X824" s="1315"/>
      <c r="Y824" s="1315"/>
    </row>
    <row r="825" spans="1:25" x14ac:dyDescent="0.2">
      <c r="A825" s="1730"/>
      <c r="B825" s="1730"/>
      <c r="C825" s="1730"/>
      <c r="D825" s="1730"/>
      <c r="E825" s="1314"/>
      <c r="R825" s="1315"/>
      <c r="S825" s="1315"/>
      <c r="T825" s="1315"/>
      <c r="U825" s="1315"/>
      <c r="V825" s="1315"/>
      <c r="W825" s="1315"/>
      <c r="X825" s="1315"/>
      <c r="Y825" s="1315"/>
    </row>
    <row r="826" spans="1:25" x14ac:dyDescent="0.2">
      <c r="A826" s="1730"/>
      <c r="B826" s="1730"/>
      <c r="C826" s="1730"/>
      <c r="D826" s="1730"/>
      <c r="E826" s="1314"/>
      <c r="R826" s="1315"/>
      <c r="S826" s="1315"/>
      <c r="T826" s="1315"/>
      <c r="U826" s="1315"/>
      <c r="V826" s="1315"/>
      <c r="W826" s="1315"/>
      <c r="X826" s="1315"/>
      <c r="Y826" s="1315"/>
    </row>
    <row r="827" spans="1:25" x14ac:dyDescent="0.2">
      <c r="A827" s="1730"/>
      <c r="B827" s="1730"/>
      <c r="C827" s="1730"/>
      <c r="D827" s="1730"/>
      <c r="E827" s="1314"/>
      <c r="R827" s="1315"/>
      <c r="S827" s="1315"/>
      <c r="T827" s="1315"/>
      <c r="U827" s="1315"/>
      <c r="V827" s="1315"/>
      <c r="W827" s="1315"/>
      <c r="X827" s="1315"/>
      <c r="Y827" s="1315"/>
    </row>
    <row r="828" spans="1:25" x14ac:dyDescent="0.2">
      <c r="A828" s="1730"/>
      <c r="B828" s="1730"/>
      <c r="C828" s="1730"/>
      <c r="D828" s="1730"/>
      <c r="E828" s="1314"/>
      <c r="R828" s="1315"/>
      <c r="S828" s="1315"/>
      <c r="T828" s="1315"/>
      <c r="U828" s="1315"/>
      <c r="V828" s="1315"/>
      <c r="W828" s="1315"/>
      <c r="X828" s="1315"/>
      <c r="Y828" s="1315"/>
    </row>
    <row r="829" spans="1:25" x14ac:dyDescent="0.2">
      <c r="A829" s="1730"/>
      <c r="B829" s="1730"/>
      <c r="C829" s="1730"/>
      <c r="D829" s="1730"/>
      <c r="E829" s="1314"/>
      <c r="R829" s="1315"/>
      <c r="S829" s="1315"/>
      <c r="T829" s="1315"/>
      <c r="U829" s="1315"/>
      <c r="V829" s="1315"/>
      <c r="W829" s="1315"/>
      <c r="X829" s="1315"/>
      <c r="Y829" s="1315"/>
    </row>
    <row r="830" spans="1:25" x14ac:dyDescent="0.2">
      <c r="A830" s="1730"/>
      <c r="B830" s="1730"/>
      <c r="C830" s="1730"/>
      <c r="D830" s="1730"/>
      <c r="E830" s="1314"/>
      <c r="R830" s="1315"/>
      <c r="S830" s="1315"/>
      <c r="T830" s="1315"/>
      <c r="U830" s="1315"/>
      <c r="V830" s="1315"/>
      <c r="W830" s="1315"/>
      <c r="X830" s="1315"/>
      <c r="Y830" s="1315"/>
    </row>
    <row r="831" spans="1:25" x14ac:dyDescent="0.2">
      <c r="A831" s="1730"/>
      <c r="B831" s="1730"/>
      <c r="C831" s="1730"/>
      <c r="D831" s="1730"/>
      <c r="E831" s="1314"/>
      <c r="R831" s="1315"/>
      <c r="S831" s="1315"/>
      <c r="T831" s="1315"/>
      <c r="U831" s="1315"/>
      <c r="V831" s="1315"/>
      <c r="W831" s="1315"/>
      <c r="X831" s="1315"/>
      <c r="Y831" s="1315"/>
    </row>
    <row r="832" spans="1:25" x14ac:dyDescent="0.2">
      <c r="A832" s="1730"/>
      <c r="B832" s="1730"/>
      <c r="C832" s="1730"/>
      <c r="D832" s="1730"/>
      <c r="E832" s="1314"/>
      <c r="R832" s="1315"/>
      <c r="S832" s="1315"/>
      <c r="T832" s="1315"/>
      <c r="U832" s="1315"/>
      <c r="V832" s="1315"/>
      <c r="W832" s="1315"/>
      <c r="X832" s="1315"/>
      <c r="Y832" s="1315"/>
    </row>
    <row r="833" spans="1:25" x14ac:dyDescent="0.2">
      <c r="A833" s="1730"/>
      <c r="B833" s="1730"/>
      <c r="C833" s="1730"/>
      <c r="D833" s="1730"/>
      <c r="E833" s="1314"/>
      <c r="R833" s="1315"/>
      <c r="S833" s="1315"/>
      <c r="T833" s="1315"/>
      <c r="U833" s="1315"/>
      <c r="V833" s="1315"/>
      <c r="W833" s="1315"/>
      <c r="X833" s="1315"/>
      <c r="Y833" s="1315"/>
    </row>
    <row r="834" spans="1:25" x14ac:dyDescent="0.2">
      <c r="A834" s="1730"/>
      <c r="B834" s="1730"/>
      <c r="C834" s="1730"/>
      <c r="D834" s="1730"/>
      <c r="E834" s="1314"/>
      <c r="R834" s="1315"/>
      <c r="S834" s="1315"/>
      <c r="T834" s="1315"/>
      <c r="U834" s="1315"/>
      <c r="V834" s="1315"/>
      <c r="W834" s="1315"/>
      <c r="X834" s="1315"/>
      <c r="Y834" s="1315"/>
    </row>
    <row r="835" spans="1:25" x14ac:dyDescent="0.2">
      <c r="A835" s="1730"/>
      <c r="B835" s="1730"/>
      <c r="C835" s="1730"/>
      <c r="D835" s="1730"/>
      <c r="E835" s="1314"/>
      <c r="R835" s="1315"/>
      <c r="S835" s="1315"/>
      <c r="T835" s="1315"/>
      <c r="U835" s="1315"/>
      <c r="V835" s="1315"/>
      <c r="W835" s="1315"/>
      <c r="X835" s="1315"/>
      <c r="Y835" s="1315"/>
    </row>
    <row r="836" spans="1:25" x14ac:dyDescent="0.2">
      <c r="A836" s="1730"/>
      <c r="B836" s="1730"/>
      <c r="C836" s="1730"/>
      <c r="D836" s="1730"/>
      <c r="E836" s="1314"/>
      <c r="R836" s="1315"/>
      <c r="S836" s="1315"/>
      <c r="T836" s="1315"/>
      <c r="U836" s="1315"/>
      <c r="V836" s="1315"/>
      <c r="W836" s="1315"/>
      <c r="X836" s="1315"/>
      <c r="Y836" s="1315"/>
    </row>
    <row r="837" spans="1:25" x14ac:dyDescent="0.2">
      <c r="A837" s="1730"/>
      <c r="B837" s="1730"/>
      <c r="C837" s="1730"/>
      <c r="D837" s="1730"/>
      <c r="E837" s="1314"/>
      <c r="R837" s="1315"/>
      <c r="S837" s="1315"/>
      <c r="T837" s="1315"/>
      <c r="U837" s="1315"/>
      <c r="V837" s="1315"/>
      <c r="W837" s="1315"/>
      <c r="X837" s="1315"/>
      <c r="Y837" s="1315"/>
    </row>
    <row r="838" spans="1:25" x14ac:dyDescent="0.2">
      <c r="A838" s="1730"/>
      <c r="B838" s="1730"/>
      <c r="C838" s="1730"/>
      <c r="D838" s="1730"/>
      <c r="E838" s="1314"/>
      <c r="R838" s="1315"/>
      <c r="S838" s="1315"/>
      <c r="T838" s="1315"/>
      <c r="U838" s="1315"/>
      <c r="V838" s="1315"/>
      <c r="W838" s="1315"/>
      <c r="X838" s="1315"/>
      <c r="Y838" s="1315"/>
    </row>
    <row r="839" spans="1:25" x14ac:dyDescent="0.2">
      <c r="A839" s="1730"/>
      <c r="B839" s="1730"/>
      <c r="C839" s="1730"/>
      <c r="D839" s="1730"/>
      <c r="E839" s="1314"/>
      <c r="R839" s="1315"/>
      <c r="S839" s="1315"/>
      <c r="T839" s="1315"/>
      <c r="U839" s="1315"/>
      <c r="V839" s="1315"/>
      <c r="W839" s="1315"/>
      <c r="X839" s="1315"/>
      <c r="Y839" s="1315"/>
    </row>
    <row r="840" spans="1:25" x14ac:dyDescent="0.2">
      <c r="A840" s="1730"/>
      <c r="B840" s="1730"/>
      <c r="C840" s="1730"/>
      <c r="D840" s="1730"/>
      <c r="E840" s="1314"/>
      <c r="R840" s="1315"/>
      <c r="S840" s="1315"/>
      <c r="T840" s="1315"/>
      <c r="U840" s="1315"/>
      <c r="V840" s="1315"/>
      <c r="W840" s="1315"/>
      <c r="X840" s="1315"/>
      <c r="Y840" s="1315"/>
    </row>
    <row r="841" spans="1:25" x14ac:dyDescent="0.2">
      <c r="A841" s="1730"/>
      <c r="B841" s="1730"/>
      <c r="C841" s="1730"/>
      <c r="D841" s="1730"/>
      <c r="E841" s="1314"/>
      <c r="R841" s="1315"/>
      <c r="S841" s="1315"/>
      <c r="T841" s="1315"/>
      <c r="U841" s="1315"/>
      <c r="V841" s="1315"/>
      <c r="W841" s="1315"/>
      <c r="X841" s="1315"/>
      <c r="Y841" s="1315"/>
    </row>
    <row r="842" spans="1:25" x14ac:dyDescent="0.2">
      <c r="A842" s="1730"/>
      <c r="B842" s="1730"/>
      <c r="C842" s="1730"/>
      <c r="D842" s="1730"/>
      <c r="E842" s="1314"/>
      <c r="R842" s="1315"/>
      <c r="S842" s="1315"/>
      <c r="T842" s="1315"/>
      <c r="U842" s="1315"/>
      <c r="V842" s="1315"/>
      <c r="W842" s="1315"/>
      <c r="X842" s="1315"/>
      <c r="Y842" s="1315"/>
    </row>
    <row r="843" spans="1:25" x14ac:dyDescent="0.2">
      <c r="A843" s="1730"/>
      <c r="B843" s="1730"/>
      <c r="C843" s="1730"/>
      <c r="D843" s="1730"/>
      <c r="E843" s="1314"/>
      <c r="R843" s="1315"/>
      <c r="S843" s="1315"/>
      <c r="T843" s="1315"/>
      <c r="U843" s="1315"/>
      <c r="V843" s="1315"/>
      <c r="W843" s="1315"/>
      <c r="X843" s="1315"/>
      <c r="Y843" s="1315"/>
    </row>
    <row r="844" spans="1:25" x14ac:dyDescent="0.2">
      <c r="A844" s="1730"/>
      <c r="B844" s="1730"/>
      <c r="C844" s="1730"/>
      <c r="D844" s="1730"/>
      <c r="E844" s="1314"/>
      <c r="R844" s="1315"/>
      <c r="S844" s="1315"/>
      <c r="T844" s="1315"/>
      <c r="U844" s="1315"/>
      <c r="V844" s="1315"/>
      <c r="W844" s="1315"/>
      <c r="X844" s="1315"/>
      <c r="Y844" s="1315"/>
    </row>
    <row r="845" spans="1:25" x14ac:dyDescent="0.2">
      <c r="A845" s="1730"/>
      <c r="B845" s="1730"/>
      <c r="C845" s="1730"/>
      <c r="D845" s="1730"/>
      <c r="E845" s="1314"/>
      <c r="R845" s="1315"/>
      <c r="S845" s="1315"/>
      <c r="T845" s="1315"/>
      <c r="U845" s="1315"/>
      <c r="V845" s="1315"/>
      <c r="W845" s="1315"/>
      <c r="X845" s="1315"/>
      <c r="Y845" s="1315"/>
    </row>
    <row r="846" spans="1:25" x14ac:dyDescent="0.2">
      <c r="A846" s="1730"/>
      <c r="B846" s="1730"/>
      <c r="C846" s="1730"/>
      <c r="D846" s="1730"/>
      <c r="E846" s="1314"/>
      <c r="R846" s="1315"/>
      <c r="S846" s="1315"/>
      <c r="T846" s="1315"/>
      <c r="U846" s="1315"/>
      <c r="V846" s="1315"/>
      <c r="W846" s="1315"/>
      <c r="X846" s="1315"/>
      <c r="Y846" s="1315"/>
    </row>
    <row r="847" spans="1:25" x14ac:dyDescent="0.2">
      <c r="A847" s="1730"/>
      <c r="B847" s="1730"/>
      <c r="C847" s="1730"/>
      <c r="D847" s="1730"/>
      <c r="E847" s="1314"/>
      <c r="R847" s="1315"/>
      <c r="S847" s="1315"/>
      <c r="T847" s="1315"/>
      <c r="U847" s="1315"/>
      <c r="V847" s="1315"/>
      <c r="W847" s="1315"/>
      <c r="X847" s="1315"/>
      <c r="Y847" s="1315"/>
    </row>
    <row r="848" spans="1:25" x14ac:dyDescent="0.2">
      <c r="A848" s="1730"/>
      <c r="B848" s="1730"/>
      <c r="C848" s="1730"/>
      <c r="D848" s="1730"/>
      <c r="E848" s="1314"/>
      <c r="R848" s="1315"/>
      <c r="S848" s="1315"/>
      <c r="T848" s="1315"/>
      <c r="U848" s="1315"/>
      <c r="V848" s="1315"/>
      <c r="W848" s="1315"/>
      <c r="X848" s="1315"/>
      <c r="Y848" s="1315"/>
    </row>
    <row r="849" spans="1:25" x14ac:dyDescent="0.2">
      <c r="A849" s="1730"/>
      <c r="B849" s="1730"/>
      <c r="C849" s="1730"/>
      <c r="D849" s="1730"/>
      <c r="E849" s="1314"/>
      <c r="R849" s="1315"/>
      <c r="S849" s="1315"/>
      <c r="T849" s="1315"/>
      <c r="U849" s="1315"/>
      <c r="V849" s="1315"/>
      <c r="W849" s="1315"/>
      <c r="X849" s="1315"/>
      <c r="Y849" s="1315"/>
    </row>
    <row r="850" spans="1:25" x14ac:dyDescent="0.2">
      <c r="A850" s="1730"/>
      <c r="B850" s="1730"/>
      <c r="C850" s="1730"/>
      <c r="D850" s="1730"/>
      <c r="E850" s="1314"/>
      <c r="R850" s="1315"/>
      <c r="S850" s="1315"/>
      <c r="T850" s="1315"/>
      <c r="U850" s="1315"/>
      <c r="V850" s="1315"/>
      <c r="W850" s="1315"/>
      <c r="X850" s="1315"/>
      <c r="Y850" s="1315"/>
    </row>
    <row r="851" spans="1:25" x14ac:dyDescent="0.2">
      <c r="A851" s="1730"/>
      <c r="B851" s="1730"/>
      <c r="C851" s="1730"/>
      <c r="D851" s="1730"/>
      <c r="E851" s="1314"/>
      <c r="R851" s="1315"/>
      <c r="S851" s="1315"/>
      <c r="T851" s="1315"/>
      <c r="U851" s="1315"/>
      <c r="V851" s="1315"/>
      <c r="W851" s="1315"/>
      <c r="X851" s="1315"/>
      <c r="Y851" s="1315"/>
    </row>
    <row r="852" spans="1:25" x14ac:dyDescent="0.2">
      <c r="A852" s="1730"/>
      <c r="B852" s="1730"/>
      <c r="C852" s="1730"/>
      <c r="D852" s="1730"/>
      <c r="E852" s="1314"/>
      <c r="R852" s="1315"/>
      <c r="S852" s="1315"/>
      <c r="T852" s="1315"/>
      <c r="U852" s="1315"/>
      <c r="V852" s="1315"/>
      <c r="W852" s="1315"/>
      <c r="X852" s="1315"/>
      <c r="Y852" s="1315"/>
    </row>
    <row r="853" spans="1:25" x14ac:dyDescent="0.2">
      <c r="A853" s="1730"/>
      <c r="B853" s="1730"/>
      <c r="C853" s="1730"/>
      <c r="D853" s="1730"/>
      <c r="E853" s="1314"/>
      <c r="R853" s="1315"/>
      <c r="S853" s="1315"/>
      <c r="T853" s="1315"/>
      <c r="U853" s="1315"/>
      <c r="V853" s="1315"/>
      <c r="W853" s="1315"/>
      <c r="X853" s="1315"/>
      <c r="Y853" s="1315"/>
    </row>
    <row r="854" spans="1:25" x14ac:dyDescent="0.2">
      <c r="A854" s="1730"/>
      <c r="B854" s="1730"/>
      <c r="C854" s="1730"/>
      <c r="D854" s="1730"/>
      <c r="E854" s="1314"/>
      <c r="R854" s="1315"/>
      <c r="S854" s="1315"/>
      <c r="T854" s="1315"/>
      <c r="U854" s="1315"/>
      <c r="V854" s="1315"/>
      <c r="W854" s="1315"/>
      <c r="X854" s="1315"/>
      <c r="Y854" s="1315"/>
    </row>
    <row r="855" spans="1:25" x14ac:dyDescent="0.2">
      <c r="A855" s="1730"/>
      <c r="B855" s="1730"/>
      <c r="C855" s="1730"/>
      <c r="D855" s="1730"/>
      <c r="E855" s="1314"/>
      <c r="R855" s="1315"/>
      <c r="S855" s="1315"/>
      <c r="T855" s="1315"/>
      <c r="U855" s="1315"/>
      <c r="V855" s="1315"/>
      <c r="W855" s="1315"/>
      <c r="X855" s="1315"/>
      <c r="Y855" s="1315"/>
    </row>
    <row r="856" spans="1:25" x14ac:dyDescent="0.2">
      <c r="A856" s="1730"/>
      <c r="B856" s="1730"/>
      <c r="C856" s="1730"/>
      <c r="D856" s="1730"/>
      <c r="E856" s="1314"/>
      <c r="R856" s="1315"/>
      <c r="S856" s="1315"/>
      <c r="T856" s="1315"/>
      <c r="U856" s="1315"/>
      <c r="V856" s="1315"/>
      <c r="W856" s="1315"/>
      <c r="X856" s="1315"/>
      <c r="Y856" s="1315"/>
    </row>
    <row r="857" spans="1:25" x14ac:dyDescent="0.2">
      <c r="A857" s="1730"/>
      <c r="B857" s="1730"/>
      <c r="C857" s="1730"/>
      <c r="D857" s="1730"/>
      <c r="E857" s="1314"/>
      <c r="R857" s="1315"/>
      <c r="S857" s="1315"/>
      <c r="T857" s="1315"/>
      <c r="U857" s="1315"/>
      <c r="V857" s="1315"/>
      <c r="W857" s="1315"/>
      <c r="X857" s="1315"/>
      <c r="Y857" s="1315"/>
    </row>
    <row r="858" spans="1:25" x14ac:dyDescent="0.2">
      <c r="A858" s="1730"/>
      <c r="B858" s="1730"/>
      <c r="C858" s="1730"/>
      <c r="D858" s="1730"/>
      <c r="E858" s="1314"/>
      <c r="R858" s="1315"/>
      <c r="S858" s="1315"/>
      <c r="T858" s="1315"/>
      <c r="U858" s="1315"/>
      <c r="V858" s="1315"/>
      <c r="W858" s="1315"/>
      <c r="X858" s="1315"/>
      <c r="Y858" s="1315"/>
    </row>
    <row r="859" spans="1:25" x14ac:dyDescent="0.2">
      <c r="A859" s="1730"/>
      <c r="B859" s="1730"/>
      <c r="C859" s="1730"/>
      <c r="D859" s="1730"/>
      <c r="E859" s="1314"/>
      <c r="R859" s="1315"/>
      <c r="S859" s="1315"/>
      <c r="T859" s="1315"/>
      <c r="U859" s="1315"/>
      <c r="V859" s="1315"/>
      <c r="W859" s="1315"/>
      <c r="X859" s="1315"/>
      <c r="Y859" s="1315"/>
    </row>
    <row r="860" spans="1:25" x14ac:dyDescent="0.2">
      <c r="A860" s="1730"/>
      <c r="B860" s="1730"/>
      <c r="C860" s="1730"/>
      <c r="D860" s="1730"/>
      <c r="E860" s="1314"/>
      <c r="R860" s="1315"/>
      <c r="S860" s="1315"/>
      <c r="T860" s="1315"/>
      <c r="U860" s="1315"/>
      <c r="V860" s="1315"/>
      <c r="W860" s="1315"/>
      <c r="X860" s="1315"/>
      <c r="Y860" s="1315"/>
    </row>
    <row r="861" spans="1:25" x14ac:dyDescent="0.2">
      <c r="A861" s="1730"/>
      <c r="B861" s="1730"/>
      <c r="C861" s="1730"/>
      <c r="D861" s="1730"/>
      <c r="E861" s="1314"/>
      <c r="R861" s="1315"/>
      <c r="S861" s="1315"/>
      <c r="T861" s="1315"/>
      <c r="U861" s="1315"/>
      <c r="V861" s="1315"/>
      <c r="W861" s="1315"/>
      <c r="X861" s="1315"/>
      <c r="Y861" s="1315"/>
    </row>
    <row r="862" spans="1:25" x14ac:dyDescent="0.2">
      <c r="A862" s="1730"/>
      <c r="B862" s="1730"/>
      <c r="C862" s="1730"/>
      <c r="D862" s="1730"/>
      <c r="E862" s="1314"/>
      <c r="R862" s="1315"/>
      <c r="S862" s="1315"/>
      <c r="T862" s="1315"/>
      <c r="U862" s="1315"/>
      <c r="V862" s="1315"/>
      <c r="W862" s="1315"/>
      <c r="X862" s="1315"/>
      <c r="Y862" s="1315"/>
    </row>
    <row r="863" spans="1:25" x14ac:dyDescent="0.2">
      <c r="A863" s="1730"/>
      <c r="B863" s="1730"/>
      <c r="C863" s="1730"/>
      <c r="D863" s="1730"/>
      <c r="E863" s="1314"/>
      <c r="R863" s="1315"/>
      <c r="S863" s="1315"/>
      <c r="T863" s="1315"/>
      <c r="U863" s="1315"/>
      <c r="V863" s="1315"/>
      <c r="W863" s="1315"/>
      <c r="X863" s="1315"/>
      <c r="Y863" s="1315"/>
    </row>
    <row r="864" spans="1:25" x14ac:dyDescent="0.2">
      <c r="A864" s="1730"/>
      <c r="B864" s="1730"/>
      <c r="C864" s="1730"/>
      <c r="D864" s="1730"/>
      <c r="E864" s="1314"/>
      <c r="R864" s="1315"/>
      <c r="S864" s="1315"/>
      <c r="T864" s="1315"/>
      <c r="U864" s="1315"/>
      <c r="V864" s="1315"/>
      <c r="W864" s="1315"/>
      <c r="X864" s="1315"/>
      <c r="Y864" s="1315"/>
    </row>
    <row r="865" spans="1:25" x14ac:dyDescent="0.2">
      <c r="A865" s="1730"/>
      <c r="B865" s="1730"/>
      <c r="C865" s="1730"/>
      <c r="D865" s="1730"/>
      <c r="E865" s="1314"/>
      <c r="R865" s="1315"/>
      <c r="S865" s="1315"/>
      <c r="T865" s="1315"/>
      <c r="U865" s="1315"/>
      <c r="V865" s="1315"/>
      <c r="W865" s="1315"/>
      <c r="X865" s="1315"/>
      <c r="Y865" s="1315"/>
    </row>
    <row r="866" spans="1:25" x14ac:dyDescent="0.2">
      <c r="A866" s="1730"/>
      <c r="B866" s="1730"/>
      <c r="C866" s="1730"/>
      <c r="D866" s="1730"/>
      <c r="E866" s="1314"/>
      <c r="R866" s="1315"/>
      <c r="S866" s="1315"/>
      <c r="T866" s="1315"/>
      <c r="U866" s="1315"/>
      <c r="V866" s="1315"/>
      <c r="W866" s="1315"/>
      <c r="X866" s="1315"/>
      <c r="Y866" s="1315"/>
    </row>
    <row r="867" spans="1:25" x14ac:dyDescent="0.2">
      <c r="A867" s="1730"/>
      <c r="B867" s="1730"/>
      <c r="C867" s="1730"/>
      <c r="D867" s="1730"/>
      <c r="E867" s="1314"/>
      <c r="R867" s="1315"/>
      <c r="S867" s="1315"/>
      <c r="T867" s="1315"/>
      <c r="U867" s="1315"/>
      <c r="V867" s="1315"/>
      <c r="W867" s="1315"/>
      <c r="X867" s="1315"/>
      <c r="Y867" s="1315"/>
    </row>
    <row r="868" spans="1:25" x14ac:dyDescent="0.2">
      <c r="A868" s="1730"/>
      <c r="B868" s="1730"/>
      <c r="C868" s="1730"/>
      <c r="D868" s="1730"/>
      <c r="E868" s="1314"/>
      <c r="R868" s="1315"/>
      <c r="S868" s="1315"/>
      <c r="T868" s="1315"/>
      <c r="U868" s="1315"/>
      <c r="V868" s="1315"/>
      <c r="W868" s="1315"/>
      <c r="X868" s="1315"/>
      <c r="Y868" s="1315"/>
    </row>
    <row r="869" spans="1:25" x14ac:dyDescent="0.2">
      <c r="A869" s="1730"/>
      <c r="B869" s="1730"/>
      <c r="C869" s="1730"/>
      <c r="D869" s="1730"/>
      <c r="E869" s="1314"/>
      <c r="R869" s="1315"/>
      <c r="S869" s="1315"/>
      <c r="T869" s="1315"/>
      <c r="U869" s="1315"/>
      <c r="V869" s="1315"/>
      <c r="W869" s="1315"/>
      <c r="X869" s="1315"/>
      <c r="Y869" s="1315"/>
    </row>
    <row r="870" spans="1:25" x14ac:dyDescent="0.2">
      <c r="A870" s="1730"/>
      <c r="B870" s="1730"/>
      <c r="C870" s="1730"/>
      <c r="D870" s="1730"/>
      <c r="E870" s="1314"/>
      <c r="R870" s="1315"/>
      <c r="S870" s="1315"/>
      <c r="T870" s="1315"/>
      <c r="U870" s="1315"/>
      <c r="V870" s="1315"/>
      <c r="W870" s="1315"/>
      <c r="X870" s="1315"/>
      <c r="Y870" s="1315"/>
    </row>
    <row r="871" spans="1:25" x14ac:dyDescent="0.2">
      <c r="A871" s="1730"/>
      <c r="B871" s="1730"/>
      <c r="C871" s="1730"/>
      <c r="D871" s="1730"/>
      <c r="E871" s="1314"/>
      <c r="R871" s="1315"/>
      <c r="S871" s="1315"/>
      <c r="T871" s="1315"/>
      <c r="U871" s="1315"/>
      <c r="V871" s="1315"/>
      <c r="W871" s="1315"/>
      <c r="X871" s="1315"/>
      <c r="Y871" s="1315"/>
    </row>
    <row r="872" spans="1:25" x14ac:dyDescent="0.2">
      <c r="A872" s="1730"/>
      <c r="B872" s="1730"/>
      <c r="C872" s="1730"/>
      <c r="D872" s="1730"/>
      <c r="E872" s="1314"/>
      <c r="R872" s="1315"/>
      <c r="S872" s="1315"/>
      <c r="T872" s="1315"/>
      <c r="U872" s="1315"/>
      <c r="V872" s="1315"/>
      <c r="W872" s="1315"/>
      <c r="X872" s="1315"/>
      <c r="Y872" s="1315"/>
    </row>
    <row r="873" spans="1:25" x14ac:dyDescent="0.2">
      <c r="A873" s="1730"/>
      <c r="B873" s="1730"/>
      <c r="C873" s="1730"/>
      <c r="D873" s="1730"/>
      <c r="E873" s="1314"/>
      <c r="R873" s="1315"/>
      <c r="S873" s="1315"/>
      <c r="T873" s="1315"/>
      <c r="U873" s="1315"/>
      <c r="V873" s="1315"/>
      <c r="W873" s="1315"/>
      <c r="X873" s="1315"/>
      <c r="Y873" s="1315"/>
    </row>
    <row r="874" spans="1:25" x14ac:dyDescent="0.2">
      <c r="A874" s="1730"/>
      <c r="B874" s="1730"/>
      <c r="C874" s="1730"/>
      <c r="D874" s="1730"/>
      <c r="E874" s="1314"/>
      <c r="R874" s="1315"/>
      <c r="S874" s="1315"/>
      <c r="T874" s="1315"/>
      <c r="U874" s="1315"/>
      <c r="V874" s="1315"/>
      <c r="W874" s="1315"/>
      <c r="X874" s="1315"/>
      <c r="Y874" s="1315"/>
    </row>
    <row r="875" spans="1:25" x14ac:dyDescent="0.2">
      <c r="A875" s="1730"/>
      <c r="B875" s="1730"/>
      <c r="C875" s="1730"/>
      <c r="D875" s="1730"/>
      <c r="E875" s="1314"/>
      <c r="R875" s="1315"/>
      <c r="S875" s="1315"/>
      <c r="T875" s="1315"/>
      <c r="U875" s="1315"/>
      <c r="V875" s="1315"/>
      <c r="W875" s="1315"/>
      <c r="X875" s="1315"/>
      <c r="Y875" s="1315"/>
    </row>
    <row r="876" spans="1:25" x14ac:dyDescent="0.2">
      <c r="A876" s="1730"/>
      <c r="B876" s="1730"/>
      <c r="C876" s="1730"/>
      <c r="D876" s="1730"/>
      <c r="E876" s="1314"/>
      <c r="R876" s="1315"/>
      <c r="S876" s="1315"/>
      <c r="T876" s="1315"/>
      <c r="U876" s="1315"/>
      <c r="V876" s="1315"/>
      <c r="W876" s="1315"/>
      <c r="X876" s="1315"/>
      <c r="Y876" s="1315"/>
    </row>
    <row r="877" spans="1:25" x14ac:dyDescent="0.2">
      <c r="A877" s="1730"/>
      <c r="B877" s="1730"/>
      <c r="C877" s="1730"/>
      <c r="D877" s="1730"/>
      <c r="E877" s="1314"/>
      <c r="R877" s="1315"/>
      <c r="S877" s="1315"/>
      <c r="T877" s="1315"/>
      <c r="U877" s="1315"/>
      <c r="V877" s="1315"/>
      <c r="W877" s="1315"/>
      <c r="X877" s="1315"/>
      <c r="Y877" s="1315"/>
    </row>
    <row r="878" spans="1:25" x14ac:dyDescent="0.2">
      <c r="A878" s="1730"/>
      <c r="B878" s="1730"/>
      <c r="C878" s="1730"/>
      <c r="D878" s="1730"/>
      <c r="E878" s="1314"/>
      <c r="R878" s="1315"/>
      <c r="S878" s="1315"/>
      <c r="T878" s="1315"/>
      <c r="U878" s="1315"/>
      <c r="V878" s="1315"/>
      <c r="W878" s="1315"/>
      <c r="X878" s="1315"/>
      <c r="Y878" s="1315"/>
    </row>
    <row r="879" spans="1:25" x14ac:dyDescent="0.2">
      <c r="A879" s="1730"/>
      <c r="B879" s="1730"/>
      <c r="C879" s="1730"/>
      <c r="D879" s="1730"/>
      <c r="E879" s="1314"/>
      <c r="R879" s="1315"/>
      <c r="S879" s="1315"/>
      <c r="T879" s="1315"/>
      <c r="U879" s="1315"/>
      <c r="V879" s="1315"/>
      <c r="W879" s="1315"/>
      <c r="X879" s="1315"/>
      <c r="Y879" s="1315"/>
    </row>
    <row r="880" spans="1:25" x14ac:dyDescent="0.2">
      <c r="A880" s="1730"/>
      <c r="B880" s="1730"/>
      <c r="C880" s="1730"/>
      <c r="D880" s="1730"/>
      <c r="E880" s="1314"/>
      <c r="R880" s="1315"/>
      <c r="S880" s="1315"/>
      <c r="T880" s="1315"/>
      <c r="U880" s="1315"/>
      <c r="V880" s="1315"/>
      <c r="W880" s="1315"/>
      <c r="X880" s="1315"/>
      <c r="Y880" s="1315"/>
    </row>
    <row r="881" spans="1:25" x14ac:dyDescent="0.2">
      <c r="A881" s="1730"/>
      <c r="B881" s="1730"/>
      <c r="C881" s="1730"/>
      <c r="D881" s="1730"/>
      <c r="E881" s="1314"/>
      <c r="R881" s="1315"/>
      <c r="S881" s="1315"/>
      <c r="T881" s="1315"/>
      <c r="U881" s="1315"/>
      <c r="V881" s="1315"/>
      <c r="W881" s="1315"/>
      <c r="X881" s="1315"/>
      <c r="Y881" s="1315"/>
    </row>
    <row r="882" spans="1:25" x14ac:dyDescent="0.2">
      <c r="A882" s="1730"/>
      <c r="B882" s="1730"/>
      <c r="C882" s="1730"/>
      <c r="D882" s="1730"/>
      <c r="E882" s="1314"/>
      <c r="R882" s="1315"/>
      <c r="S882" s="1315"/>
      <c r="T882" s="1315"/>
      <c r="U882" s="1315"/>
      <c r="V882" s="1315"/>
      <c r="W882" s="1315"/>
      <c r="X882" s="1315"/>
      <c r="Y882" s="1315"/>
    </row>
    <row r="883" spans="1:25" x14ac:dyDescent="0.2">
      <c r="A883" s="1730"/>
      <c r="B883" s="1730"/>
      <c r="C883" s="1730"/>
      <c r="D883" s="1730"/>
      <c r="E883" s="1314"/>
      <c r="R883" s="1315"/>
      <c r="S883" s="1315"/>
      <c r="T883" s="1315"/>
      <c r="U883" s="1315"/>
      <c r="V883" s="1315"/>
      <c r="W883" s="1315"/>
      <c r="X883" s="1315"/>
      <c r="Y883" s="1315"/>
    </row>
    <row r="884" spans="1:25" x14ac:dyDescent="0.2">
      <c r="A884" s="1730"/>
      <c r="B884" s="1730"/>
      <c r="C884" s="1730"/>
      <c r="D884" s="1730"/>
      <c r="E884" s="1314"/>
      <c r="R884" s="1315"/>
      <c r="S884" s="1315"/>
      <c r="T884" s="1315"/>
      <c r="U884" s="1315"/>
      <c r="V884" s="1315"/>
      <c r="W884" s="1315"/>
      <c r="X884" s="1315"/>
      <c r="Y884" s="1315"/>
    </row>
    <row r="885" spans="1:25" x14ac:dyDescent="0.2">
      <c r="A885" s="1730"/>
      <c r="B885" s="1730"/>
      <c r="C885" s="1730"/>
      <c r="D885" s="1730"/>
      <c r="E885" s="1314"/>
      <c r="R885" s="1315"/>
      <c r="S885" s="1315"/>
      <c r="T885" s="1315"/>
      <c r="U885" s="1315"/>
      <c r="V885" s="1315"/>
      <c r="W885" s="1315"/>
      <c r="X885" s="1315"/>
      <c r="Y885" s="1315"/>
    </row>
    <row r="886" spans="1:25" x14ac:dyDescent="0.2">
      <c r="A886" s="1730"/>
      <c r="B886" s="1730"/>
      <c r="C886" s="1730"/>
      <c r="D886" s="1730"/>
      <c r="E886" s="1314"/>
      <c r="R886" s="1315"/>
      <c r="S886" s="1315"/>
      <c r="T886" s="1315"/>
      <c r="U886" s="1315"/>
      <c r="V886" s="1315"/>
      <c r="W886" s="1315"/>
      <c r="X886" s="1315"/>
      <c r="Y886" s="1315"/>
    </row>
    <row r="887" spans="1:25" x14ac:dyDescent="0.2">
      <c r="A887" s="1730"/>
      <c r="B887" s="1730"/>
      <c r="C887" s="1730"/>
      <c r="D887" s="1730"/>
      <c r="E887" s="1314"/>
      <c r="R887" s="1315"/>
      <c r="S887" s="1315"/>
      <c r="T887" s="1315"/>
      <c r="U887" s="1315"/>
      <c r="V887" s="1315"/>
      <c r="W887" s="1315"/>
      <c r="X887" s="1315"/>
      <c r="Y887" s="1315"/>
    </row>
    <row r="888" spans="1:25" x14ac:dyDescent="0.2">
      <c r="A888" s="1730"/>
      <c r="B888" s="1730"/>
      <c r="C888" s="1730"/>
      <c r="D888" s="1730"/>
      <c r="E888" s="1314"/>
      <c r="R888" s="1315"/>
      <c r="S888" s="1315"/>
      <c r="T888" s="1315"/>
      <c r="U888" s="1315"/>
      <c r="V888" s="1315"/>
      <c r="W888" s="1315"/>
      <c r="X888" s="1315"/>
      <c r="Y888" s="1315"/>
    </row>
    <row r="889" spans="1:25" x14ac:dyDescent="0.2">
      <c r="A889" s="1730"/>
      <c r="B889" s="1730"/>
      <c r="C889" s="1730"/>
      <c r="D889" s="1730"/>
      <c r="E889" s="1314"/>
      <c r="R889" s="1315"/>
      <c r="S889" s="1315"/>
      <c r="T889" s="1315"/>
      <c r="U889" s="1315"/>
      <c r="V889" s="1315"/>
      <c r="W889" s="1315"/>
      <c r="X889" s="1315"/>
      <c r="Y889" s="1315"/>
    </row>
    <row r="890" spans="1:25" x14ac:dyDescent="0.2">
      <c r="A890" s="1730"/>
      <c r="B890" s="1730"/>
      <c r="C890" s="1730"/>
      <c r="D890" s="1730"/>
      <c r="E890" s="1314"/>
      <c r="R890" s="1315"/>
      <c r="S890" s="1315"/>
      <c r="T890" s="1315"/>
      <c r="U890" s="1315"/>
      <c r="V890" s="1315"/>
      <c r="W890" s="1315"/>
      <c r="X890" s="1315"/>
      <c r="Y890" s="1315"/>
    </row>
    <row r="891" spans="1:25" x14ac:dyDescent="0.2">
      <c r="A891" s="1730"/>
      <c r="B891" s="1730"/>
      <c r="C891" s="1730"/>
      <c r="D891" s="1730"/>
      <c r="E891" s="1314"/>
      <c r="R891" s="1315"/>
      <c r="S891" s="1315"/>
      <c r="T891" s="1315"/>
      <c r="U891" s="1315"/>
      <c r="V891" s="1315"/>
      <c r="W891" s="1315"/>
      <c r="X891" s="1315"/>
      <c r="Y891" s="1315"/>
    </row>
    <row r="892" spans="1:25" x14ac:dyDescent="0.2">
      <c r="A892" s="1730"/>
      <c r="B892" s="1730"/>
      <c r="C892" s="1730"/>
      <c r="D892" s="1730"/>
      <c r="E892" s="1314"/>
      <c r="R892" s="1315"/>
      <c r="S892" s="1315"/>
      <c r="T892" s="1315"/>
      <c r="U892" s="1315"/>
      <c r="V892" s="1315"/>
      <c r="W892" s="1315"/>
      <c r="X892" s="1315"/>
      <c r="Y892" s="1315"/>
    </row>
    <row r="893" spans="1:25" x14ac:dyDescent="0.2">
      <c r="A893" s="1730"/>
      <c r="B893" s="1730"/>
      <c r="C893" s="1730"/>
      <c r="D893" s="1730"/>
      <c r="E893" s="1314"/>
      <c r="R893" s="1315"/>
      <c r="S893" s="1315"/>
      <c r="T893" s="1315"/>
      <c r="U893" s="1315"/>
      <c r="V893" s="1315"/>
      <c r="W893" s="1315"/>
      <c r="X893" s="1315"/>
      <c r="Y893" s="1315"/>
    </row>
    <row r="894" spans="1:25" x14ac:dyDescent="0.2">
      <c r="A894" s="1730"/>
      <c r="B894" s="1730"/>
      <c r="C894" s="1730"/>
      <c r="D894" s="1730"/>
      <c r="E894" s="1314"/>
      <c r="R894" s="1315"/>
      <c r="S894" s="1315"/>
      <c r="T894" s="1315"/>
      <c r="U894" s="1315"/>
      <c r="V894" s="1315"/>
      <c r="W894" s="1315"/>
      <c r="X894" s="1315"/>
      <c r="Y894" s="1315"/>
    </row>
    <row r="895" spans="1:25" x14ac:dyDescent="0.2">
      <c r="A895" s="1730"/>
      <c r="B895" s="1730"/>
      <c r="C895" s="1730"/>
      <c r="D895" s="1730"/>
      <c r="E895" s="1314"/>
      <c r="R895" s="1315"/>
      <c r="S895" s="1315"/>
      <c r="T895" s="1315"/>
      <c r="U895" s="1315"/>
      <c r="V895" s="1315"/>
      <c r="W895" s="1315"/>
      <c r="X895" s="1315"/>
      <c r="Y895" s="1315"/>
    </row>
    <row r="896" spans="1:25" x14ac:dyDescent="0.2">
      <c r="A896" s="1730"/>
      <c r="B896" s="1730"/>
      <c r="C896" s="1730"/>
      <c r="D896" s="1730"/>
      <c r="E896" s="1314"/>
      <c r="R896" s="1315"/>
      <c r="S896" s="1315"/>
      <c r="T896" s="1315"/>
      <c r="U896" s="1315"/>
      <c r="V896" s="1315"/>
      <c r="W896" s="1315"/>
      <c r="X896" s="1315"/>
      <c r="Y896" s="1315"/>
    </row>
    <row r="897" spans="1:25" x14ac:dyDescent="0.2">
      <c r="A897" s="1730"/>
      <c r="B897" s="1730"/>
      <c r="C897" s="1730"/>
      <c r="D897" s="1730"/>
      <c r="E897" s="1314"/>
      <c r="R897" s="1315"/>
      <c r="S897" s="1315"/>
      <c r="T897" s="1315"/>
      <c r="U897" s="1315"/>
      <c r="V897" s="1315"/>
      <c r="W897" s="1315"/>
      <c r="X897" s="1315"/>
      <c r="Y897" s="1315"/>
    </row>
    <row r="898" spans="1:25" x14ac:dyDescent="0.2">
      <c r="A898" s="1730"/>
      <c r="B898" s="1730"/>
      <c r="C898" s="1730"/>
      <c r="D898" s="1730"/>
      <c r="E898" s="1314"/>
      <c r="R898" s="1315"/>
      <c r="S898" s="1315"/>
      <c r="T898" s="1315"/>
      <c r="U898" s="1315"/>
      <c r="V898" s="1315"/>
      <c r="W898" s="1315"/>
      <c r="X898" s="1315"/>
      <c r="Y898" s="1315"/>
    </row>
    <row r="899" spans="1:25" x14ac:dyDescent="0.2">
      <c r="A899" s="1730"/>
      <c r="B899" s="1730"/>
      <c r="C899" s="1730"/>
      <c r="D899" s="1730"/>
      <c r="E899" s="1314"/>
      <c r="R899" s="1315"/>
      <c r="S899" s="1315"/>
      <c r="T899" s="1315"/>
      <c r="U899" s="1315"/>
      <c r="V899" s="1315"/>
      <c r="W899" s="1315"/>
      <c r="X899" s="1315"/>
      <c r="Y899" s="1315"/>
    </row>
    <row r="900" spans="1:25" x14ac:dyDescent="0.2">
      <c r="A900" s="1730"/>
      <c r="B900" s="1730"/>
      <c r="C900" s="1730"/>
      <c r="D900" s="1730"/>
      <c r="E900" s="1314"/>
      <c r="R900" s="1315"/>
      <c r="S900" s="1315"/>
      <c r="T900" s="1315"/>
      <c r="U900" s="1315"/>
      <c r="V900" s="1315"/>
      <c r="W900" s="1315"/>
      <c r="X900" s="1315"/>
      <c r="Y900" s="1315"/>
    </row>
    <row r="901" spans="1:25" x14ac:dyDescent="0.2">
      <c r="A901" s="1730"/>
      <c r="B901" s="1730"/>
      <c r="C901" s="1730"/>
      <c r="D901" s="1730"/>
      <c r="E901" s="1314"/>
      <c r="R901" s="1315"/>
      <c r="S901" s="1315"/>
      <c r="T901" s="1315"/>
      <c r="U901" s="1315"/>
      <c r="V901" s="1315"/>
      <c r="W901" s="1315"/>
      <c r="X901" s="1315"/>
      <c r="Y901" s="1315"/>
    </row>
    <row r="902" spans="1:25" x14ac:dyDescent="0.2">
      <c r="A902" s="1730"/>
      <c r="B902" s="1730"/>
      <c r="C902" s="1730"/>
      <c r="D902" s="1730"/>
      <c r="E902" s="1314"/>
      <c r="R902" s="1315"/>
      <c r="S902" s="1315"/>
      <c r="T902" s="1315"/>
      <c r="U902" s="1315"/>
      <c r="V902" s="1315"/>
      <c r="W902" s="1315"/>
      <c r="X902" s="1315"/>
      <c r="Y902" s="1315"/>
    </row>
    <row r="903" spans="1:25" x14ac:dyDescent="0.2">
      <c r="A903" s="1730"/>
      <c r="B903" s="1730"/>
      <c r="C903" s="1730"/>
      <c r="D903" s="1730"/>
      <c r="E903" s="1314"/>
      <c r="R903" s="1315"/>
      <c r="S903" s="1315"/>
      <c r="T903" s="1315"/>
      <c r="U903" s="1315"/>
      <c r="V903" s="1315"/>
      <c r="W903" s="1315"/>
      <c r="X903" s="1315"/>
      <c r="Y903" s="1315"/>
    </row>
    <row r="904" spans="1:25" x14ac:dyDescent="0.2">
      <c r="A904" s="1730"/>
      <c r="B904" s="1730"/>
      <c r="C904" s="1730"/>
      <c r="D904" s="1730"/>
      <c r="E904" s="1314"/>
      <c r="R904" s="1315"/>
      <c r="S904" s="1315"/>
      <c r="T904" s="1315"/>
      <c r="U904" s="1315"/>
      <c r="V904" s="1315"/>
      <c r="W904" s="1315"/>
      <c r="X904" s="1315"/>
      <c r="Y904" s="1315"/>
    </row>
    <row r="905" spans="1:25" x14ac:dyDescent="0.2">
      <c r="A905" s="1730"/>
      <c r="B905" s="1730"/>
      <c r="C905" s="1730"/>
      <c r="D905" s="1730"/>
      <c r="E905" s="1314"/>
      <c r="R905" s="1315"/>
      <c r="S905" s="1315"/>
      <c r="T905" s="1315"/>
      <c r="U905" s="1315"/>
      <c r="V905" s="1315"/>
      <c r="W905" s="1315"/>
      <c r="X905" s="1315"/>
      <c r="Y905" s="1315"/>
    </row>
    <row r="906" spans="1:25" x14ac:dyDescent="0.2">
      <c r="A906" s="1730"/>
      <c r="B906" s="1730"/>
      <c r="C906" s="1730"/>
      <c r="D906" s="1730"/>
      <c r="E906" s="1314"/>
      <c r="R906" s="1315"/>
      <c r="S906" s="1315"/>
      <c r="T906" s="1315"/>
      <c r="U906" s="1315"/>
      <c r="V906" s="1315"/>
      <c r="W906" s="1315"/>
      <c r="X906" s="1315"/>
      <c r="Y906" s="1315"/>
    </row>
    <row r="907" spans="1:25" x14ac:dyDescent="0.2">
      <c r="A907" s="1730"/>
      <c r="B907" s="1730"/>
      <c r="C907" s="1730"/>
      <c r="D907" s="1730"/>
      <c r="E907" s="1314"/>
      <c r="R907" s="1315"/>
      <c r="S907" s="1315"/>
      <c r="T907" s="1315"/>
      <c r="U907" s="1315"/>
      <c r="V907" s="1315"/>
      <c r="W907" s="1315"/>
      <c r="X907" s="1315"/>
      <c r="Y907" s="1315"/>
    </row>
    <row r="908" spans="1:25" x14ac:dyDescent="0.2">
      <c r="A908" s="1730"/>
      <c r="B908" s="1730"/>
      <c r="C908" s="1730"/>
      <c r="D908" s="1730"/>
      <c r="E908" s="1314"/>
      <c r="R908" s="1315"/>
      <c r="S908" s="1315"/>
      <c r="T908" s="1315"/>
      <c r="U908" s="1315"/>
      <c r="V908" s="1315"/>
      <c r="W908" s="1315"/>
      <c r="X908" s="1315"/>
      <c r="Y908" s="1315"/>
    </row>
    <row r="909" spans="1:25" x14ac:dyDescent="0.2">
      <c r="A909" s="1730"/>
      <c r="B909" s="1730"/>
      <c r="C909" s="1730"/>
      <c r="D909" s="1730"/>
      <c r="E909" s="1314"/>
      <c r="R909" s="1315"/>
      <c r="S909" s="1315"/>
      <c r="T909" s="1315"/>
      <c r="U909" s="1315"/>
      <c r="V909" s="1315"/>
      <c r="W909" s="1315"/>
      <c r="X909" s="1315"/>
      <c r="Y909" s="1315"/>
    </row>
    <row r="910" spans="1:25" x14ac:dyDescent="0.2">
      <c r="A910" s="1730"/>
      <c r="B910" s="1730"/>
      <c r="C910" s="1730"/>
      <c r="D910" s="1730"/>
      <c r="E910" s="1314"/>
      <c r="R910" s="1315"/>
      <c r="S910" s="1315"/>
      <c r="T910" s="1315"/>
      <c r="U910" s="1315"/>
      <c r="V910" s="1315"/>
      <c r="W910" s="1315"/>
      <c r="X910" s="1315"/>
      <c r="Y910" s="1315"/>
    </row>
    <row r="911" spans="1:25" x14ac:dyDescent="0.2">
      <c r="A911" s="1730"/>
      <c r="B911" s="1730"/>
      <c r="C911" s="1730"/>
      <c r="D911" s="1730"/>
      <c r="E911" s="1314"/>
      <c r="R911" s="1315"/>
      <c r="S911" s="1315"/>
      <c r="T911" s="1315"/>
      <c r="U911" s="1315"/>
      <c r="V911" s="1315"/>
      <c r="W911" s="1315"/>
      <c r="X911" s="1315"/>
      <c r="Y911" s="1315"/>
    </row>
    <row r="912" spans="1:25" x14ac:dyDescent="0.2">
      <c r="A912" s="1730"/>
      <c r="B912" s="1730"/>
      <c r="C912" s="1730"/>
      <c r="D912" s="1730"/>
      <c r="E912" s="1314"/>
      <c r="R912" s="1315"/>
      <c r="S912" s="1315"/>
      <c r="T912" s="1315"/>
      <c r="U912" s="1315"/>
      <c r="V912" s="1315"/>
      <c r="W912" s="1315"/>
      <c r="X912" s="1315"/>
      <c r="Y912" s="1315"/>
    </row>
    <row r="913" spans="1:25" x14ac:dyDescent="0.2">
      <c r="A913" s="1730"/>
      <c r="B913" s="1730"/>
      <c r="C913" s="1730"/>
      <c r="D913" s="1730"/>
      <c r="E913" s="1314"/>
      <c r="R913" s="1315"/>
      <c r="S913" s="1315"/>
      <c r="T913" s="1315"/>
      <c r="U913" s="1315"/>
      <c r="V913" s="1315"/>
      <c r="W913" s="1315"/>
      <c r="X913" s="1315"/>
      <c r="Y913" s="1315"/>
    </row>
    <row r="914" spans="1:25" x14ac:dyDescent="0.2">
      <c r="A914" s="1730"/>
      <c r="B914" s="1730"/>
      <c r="C914" s="1730"/>
      <c r="D914" s="1730"/>
      <c r="E914" s="1314"/>
      <c r="R914" s="1315"/>
      <c r="S914" s="1315"/>
      <c r="T914" s="1315"/>
      <c r="U914" s="1315"/>
      <c r="V914" s="1315"/>
      <c r="W914" s="1315"/>
      <c r="X914" s="1315"/>
      <c r="Y914" s="1315"/>
    </row>
    <row r="915" spans="1:25" x14ac:dyDescent="0.2">
      <c r="A915" s="1730"/>
      <c r="B915" s="1730"/>
      <c r="C915" s="1730"/>
      <c r="D915" s="1730"/>
      <c r="E915" s="1314"/>
      <c r="R915" s="1315"/>
      <c r="S915" s="1315"/>
      <c r="T915" s="1315"/>
      <c r="U915" s="1315"/>
      <c r="V915" s="1315"/>
      <c r="W915" s="1315"/>
      <c r="X915" s="1315"/>
      <c r="Y915" s="1315"/>
    </row>
    <row r="916" spans="1:25" x14ac:dyDescent="0.2">
      <c r="A916" s="1730"/>
      <c r="B916" s="1730"/>
      <c r="C916" s="1730"/>
      <c r="D916" s="1730"/>
      <c r="E916" s="1314"/>
      <c r="R916" s="1315"/>
      <c r="S916" s="1315"/>
      <c r="T916" s="1315"/>
      <c r="U916" s="1315"/>
      <c r="V916" s="1315"/>
      <c r="W916" s="1315"/>
      <c r="X916" s="1315"/>
      <c r="Y916" s="1315"/>
    </row>
    <row r="917" spans="1:25" x14ac:dyDescent="0.2">
      <c r="A917" s="1730"/>
      <c r="B917" s="1730"/>
      <c r="C917" s="1730"/>
      <c r="D917" s="1730"/>
      <c r="E917" s="1314"/>
      <c r="R917" s="1315"/>
      <c r="S917" s="1315"/>
      <c r="T917" s="1315"/>
      <c r="U917" s="1315"/>
      <c r="V917" s="1315"/>
      <c r="W917" s="1315"/>
      <c r="X917" s="1315"/>
      <c r="Y917" s="1315"/>
    </row>
    <row r="918" spans="1:25" x14ac:dyDescent="0.2">
      <c r="A918" s="1730"/>
      <c r="B918" s="1730"/>
      <c r="C918" s="1730"/>
      <c r="D918" s="1730"/>
      <c r="E918" s="1314"/>
      <c r="R918" s="1315"/>
      <c r="S918" s="1315"/>
      <c r="T918" s="1315"/>
      <c r="U918" s="1315"/>
      <c r="V918" s="1315"/>
      <c r="W918" s="1315"/>
      <c r="X918" s="1315"/>
      <c r="Y918" s="1315"/>
    </row>
    <row r="919" spans="1:25" x14ac:dyDescent="0.2">
      <c r="A919" s="1730"/>
      <c r="B919" s="1730"/>
      <c r="C919" s="1730"/>
      <c r="D919" s="1730"/>
      <c r="E919" s="1314"/>
      <c r="R919" s="1315"/>
      <c r="S919" s="1315"/>
      <c r="T919" s="1315"/>
      <c r="U919" s="1315"/>
      <c r="V919" s="1315"/>
      <c r="W919" s="1315"/>
      <c r="X919" s="1315"/>
      <c r="Y919" s="1315"/>
    </row>
    <row r="920" spans="1:25" x14ac:dyDescent="0.2">
      <c r="A920" s="1730"/>
      <c r="B920" s="1730"/>
      <c r="C920" s="1730"/>
      <c r="D920" s="1730"/>
      <c r="E920" s="1314"/>
      <c r="R920" s="1315"/>
      <c r="S920" s="1315"/>
      <c r="T920" s="1315"/>
      <c r="U920" s="1315"/>
      <c r="V920" s="1315"/>
      <c r="W920" s="1315"/>
      <c r="X920" s="1315"/>
      <c r="Y920" s="1315"/>
    </row>
    <row r="921" spans="1:25" x14ac:dyDescent="0.2">
      <c r="A921" s="1730"/>
      <c r="B921" s="1730"/>
      <c r="C921" s="1730"/>
      <c r="D921" s="1730"/>
      <c r="E921" s="1314"/>
      <c r="R921" s="1315"/>
      <c r="S921" s="1315"/>
      <c r="T921" s="1315"/>
      <c r="U921" s="1315"/>
      <c r="V921" s="1315"/>
      <c r="W921" s="1315"/>
      <c r="X921" s="1315"/>
      <c r="Y921" s="1315"/>
    </row>
    <row r="922" spans="1:25" x14ac:dyDescent="0.2">
      <c r="A922" s="1730"/>
      <c r="B922" s="1730"/>
      <c r="C922" s="1730"/>
      <c r="D922" s="1730"/>
      <c r="E922" s="1314"/>
      <c r="R922" s="1315"/>
      <c r="S922" s="1315"/>
      <c r="T922" s="1315"/>
      <c r="U922" s="1315"/>
      <c r="V922" s="1315"/>
      <c r="W922" s="1315"/>
      <c r="X922" s="1315"/>
      <c r="Y922" s="1315"/>
    </row>
    <row r="923" spans="1:25" x14ac:dyDescent="0.2">
      <c r="A923" s="1730"/>
      <c r="B923" s="1730"/>
      <c r="C923" s="1730"/>
      <c r="D923" s="1730"/>
      <c r="E923" s="1314"/>
      <c r="R923" s="1315"/>
      <c r="S923" s="1315"/>
      <c r="T923" s="1315"/>
      <c r="U923" s="1315"/>
      <c r="V923" s="1315"/>
      <c r="W923" s="1315"/>
      <c r="X923" s="1315"/>
      <c r="Y923" s="1315"/>
    </row>
    <row r="924" spans="1:25" x14ac:dyDescent="0.2">
      <c r="A924" s="1730"/>
      <c r="B924" s="1730"/>
      <c r="C924" s="1730"/>
      <c r="D924" s="1730"/>
      <c r="E924" s="1314"/>
      <c r="R924" s="1315"/>
      <c r="S924" s="1315"/>
      <c r="T924" s="1315"/>
      <c r="U924" s="1315"/>
      <c r="V924" s="1315"/>
      <c r="W924" s="1315"/>
      <c r="X924" s="1315"/>
      <c r="Y924" s="1315"/>
    </row>
    <row r="925" spans="1:25" x14ac:dyDescent="0.2">
      <c r="A925" s="1730"/>
      <c r="B925" s="1730"/>
      <c r="C925" s="1730"/>
      <c r="D925" s="1730"/>
      <c r="E925" s="1314"/>
      <c r="R925" s="1315"/>
      <c r="S925" s="1315"/>
      <c r="T925" s="1315"/>
      <c r="U925" s="1315"/>
      <c r="V925" s="1315"/>
      <c r="W925" s="1315"/>
      <c r="X925" s="1315"/>
      <c r="Y925" s="1315"/>
    </row>
    <row r="926" spans="1:25" x14ac:dyDescent="0.2">
      <c r="A926" s="1730"/>
      <c r="B926" s="1730"/>
      <c r="C926" s="1730"/>
      <c r="D926" s="1730"/>
      <c r="E926" s="1314"/>
      <c r="R926" s="1315"/>
      <c r="S926" s="1315"/>
      <c r="T926" s="1315"/>
      <c r="U926" s="1315"/>
      <c r="V926" s="1315"/>
      <c r="W926" s="1315"/>
      <c r="X926" s="1315"/>
      <c r="Y926" s="1315"/>
    </row>
    <row r="927" spans="1:25" x14ac:dyDescent="0.2">
      <c r="A927" s="1730"/>
      <c r="B927" s="1730"/>
      <c r="C927" s="1730"/>
      <c r="D927" s="1730"/>
      <c r="E927" s="1314"/>
      <c r="R927" s="1315"/>
      <c r="S927" s="1315"/>
      <c r="T927" s="1315"/>
      <c r="U927" s="1315"/>
      <c r="V927" s="1315"/>
      <c r="W927" s="1315"/>
      <c r="X927" s="1315"/>
      <c r="Y927" s="1315"/>
    </row>
    <row r="928" spans="1:25" x14ac:dyDescent="0.2">
      <c r="A928" s="1730"/>
      <c r="B928" s="1730"/>
      <c r="C928" s="1730"/>
      <c r="D928" s="1730"/>
      <c r="E928" s="1314"/>
      <c r="R928" s="1315"/>
      <c r="S928" s="1315"/>
      <c r="T928" s="1315"/>
      <c r="U928" s="1315"/>
      <c r="V928" s="1315"/>
      <c r="W928" s="1315"/>
      <c r="X928" s="1315"/>
      <c r="Y928" s="1315"/>
    </row>
    <row r="929" spans="1:25" x14ac:dyDescent="0.2">
      <c r="A929" s="1730"/>
      <c r="B929" s="1730"/>
      <c r="C929" s="1730"/>
      <c r="D929" s="1730"/>
      <c r="E929" s="1314"/>
      <c r="R929" s="1315"/>
      <c r="S929" s="1315"/>
      <c r="T929" s="1315"/>
      <c r="U929" s="1315"/>
      <c r="V929" s="1315"/>
      <c r="W929" s="1315"/>
      <c r="X929" s="1315"/>
      <c r="Y929" s="1315"/>
    </row>
    <row r="930" spans="1:25" x14ac:dyDescent="0.2">
      <c r="A930" s="1730"/>
      <c r="B930" s="1730"/>
      <c r="C930" s="1730"/>
      <c r="D930" s="1730"/>
      <c r="E930" s="1314"/>
      <c r="R930" s="1315"/>
      <c r="S930" s="1315"/>
      <c r="T930" s="1315"/>
      <c r="U930" s="1315"/>
      <c r="V930" s="1315"/>
      <c r="W930" s="1315"/>
      <c r="X930" s="1315"/>
      <c r="Y930" s="1315"/>
    </row>
    <row r="931" spans="1:25" x14ac:dyDescent="0.2">
      <c r="A931" s="1730"/>
      <c r="B931" s="1730"/>
      <c r="C931" s="1730"/>
      <c r="D931" s="1730"/>
      <c r="E931" s="1314"/>
      <c r="R931" s="1315"/>
      <c r="S931" s="1315"/>
      <c r="T931" s="1315"/>
      <c r="U931" s="1315"/>
      <c r="V931" s="1315"/>
      <c r="W931" s="1315"/>
      <c r="X931" s="1315"/>
      <c r="Y931" s="1315"/>
    </row>
    <row r="932" spans="1:25" x14ac:dyDescent="0.2">
      <c r="A932" s="1730"/>
      <c r="B932" s="1730"/>
      <c r="C932" s="1730"/>
      <c r="D932" s="1730"/>
      <c r="E932" s="1314"/>
      <c r="R932" s="1315"/>
      <c r="S932" s="1315"/>
      <c r="T932" s="1315"/>
      <c r="U932" s="1315"/>
      <c r="V932" s="1315"/>
      <c r="W932" s="1315"/>
      <c r="X932" s="1315"/>
      <c r="Y932" s="1315"/>
    </row>
    <row r="933" spans="1:25" x14ac:dyDescent="0.2">
      <c r="A933" s="1730"/>
      <c r="B933" s="1730"/>
      <c r="C933" s="1730"/>
      <c r="D933" s="1730"/>
      <c r="E933" s="1314"/>
      <c r="R933" s="1315"/>
      <c r="S933" s="1315"/>
      <c r="T933" s="1315"/>
      <c r="U933" s="1315"/>
      <c r="V933" s="1315"/>
      <c r="W933" s="1315"/>
      <c r="X933" s="1315"/>
      <c r="Y933" s="1315"/>
    </row>
    <row r="934" spans="1:25" x14ac:dyDescent="0.2">
      <c r="A934" s="1730"/>
      <c r="B934" s="1730"/>
      <c r="C934" s="1730"/>
      <c r="D934" s="1730"/>
      <c r="E934" s="1314"/>
      <c r="R934" s="1315"/>
      <c r="S934" s="1315"/>
      <c r="T934" s="1315"/>
      <c r="U934" s="1315"/>
      <c r="V934" s="1315"/>
      <c r="W934" s="1315"/>
      <c r="X934" s="1315"/>
      <c r="Y934" s="1315"/>
    </row>
    <row r="935" spans="1:25" x14ac:dyDescent="0.2">
      <c r="A935" s="1730"/>
      <c r="B935" s="1730"/>
      <c r="C935" s="1730"/>
      <c r="D935" s="1730"/>
      <c r="E935" s="1314"/>
      <c r="R935" s="1315"/>
      <c r="S935" s="1315"/>
      <c r="T935" s="1315"/>
      <c r="U935" s="1315"/>
      <c r="V935" s="1315"/>
      <c r="W935" s="1315"/>
      <c r="X935" s="1315"/>
      <c r="Y935" s="1315"/>
    </row>
    <row r="936" spans="1:25" x14ac:dyDescent="0.2">
      <c r="A936" s="1730"/>
      <c r="B936" s="1730"/>
      <c r="C936" s="1730"/>
      <c r="D936" s="1730"/>
      <c r="E936" s="1314"/>
      <c r="R936" s="1315"/>
      <c r="S936" s="1315"/>
      <c r="T936" s="1315"/>
      <c r="U936" s="1315"/>
      <c r="V936" s="1315"/>
      <c r="W936" s="1315"/>
      <c r="X936" s="1315"/>
      <c r="Y936" s="1315"/>
    </row>
    <row r="937" spans="1:25" x14ac:dyDescent="0.2">
      <c r="A937" s="1730"/>
      <c r="B937" s="1730"/>
      <c r="C937" s="1730"/>
      <c r="D937" s="1730"/>
      <c r="E937" s="1314"/>
      <c r="R937" s="1315"/>
      <c r="S937" s="1315"/>
      <c r="T937" s="1315"/>
      <c r="U937" s="1315"/>
      <c r="V937" s="1315"/>
      <c r="W937" s="1315"/>
      <c r="X937" s="1315"/>
      <c r="Y937" s="1315"/>
    </row>
    <row r="938" spans="1:25" x14ac:dyDescent="0.2">
      <c r="A938" s="1730"/>
      <c r="B938" s="1730"/>
      <c r="C938" s="1730"/>
      <c r="D938" s="1730"/>
      <c r="E938" s="1314"/>
      <c r="R938" s="1315"/>
      <c r="S938" s="1315"/>
      <c r="T938" s="1315"/>
      <c r="U938" s="1315"/>
      <c r="V938" s="1315"/>
      <c r="W938" s="1315"/>
      <c r="X938" s="1315"/>
      <c r="Y938" s="1315"/>
    </row>
    <row r="939" spans="1:25" x14ac:dyDescent="0.2">
      <c r="A939" s="1730"/>
      <c r="B939" s="1730"/>
      <c r="C939" s="1730"/>
      <c r="D939" s="1730"/>
      <c r="E939" s="1314"/>
      <c r="R939" s="1315"/>
      <c r="S939" s="1315"/>
      <c r="T939" s="1315"/>
      <c r="U939" s="1315"/>
      <c r="V939" s="1315"/>
      <c r="W939" s="1315"/>
      <c r="X939" s="1315"/>
      <c r="Y939" s="1315"/>
    </row>
    <row r="940" spans="1:25" x14ac:dyDescent="0.2">
      <c r="A940" s="1730"/>
      <c r="B940" s="1730"/>
      <c r="C940" s="1730"/>
      <c r="D940" s="1730"/>
      <c r="E940" s="1314"/>
      <c r="R940" s="1315"/>
      <c r="S940" s="1315"/>
      <c r="T940" s="1315"/>
      <c r="U940" s="1315"/>
      <c r="V940" s="1315"/>
      <c r="W940" s="1315"/>
      <c r="X940" s="1315"/>
      <c r="Y940" s="1315"/>
    </row>
    <row r="941" spans="1:25" x14ac:dyDescent="0.2">
      <c r="A941" s="1730"/>
      <c r="B941" s="1730"/>
      <c r="C941" s="1730"/>
      <c r="D941" s="1730"/>
      <c r="E941" s="1314"/>
      <c r="R941" s="1315"/>
      <c r="S941" s="1315"/>
      <c r="T941" s="1315"/>
      <c r="U941" s="1315"/>
      <c r="V941" s="1315"/>
      <c r="W941" s="1315"/>
      <c r="X941" s="1315"/>
      <c r="Y941" s="1315"/>
    </row>
    <row r="942" spans="1:25" x14ac:dyDescent="0.2">
      <c r="A942" s="1730"/>
      <c r="B942" s="1730"/>
      <c r="C942" s="1730"/>
      <c r="D942" s="1730"/>
      <c r="E942" s="1314"/>
      <c r="R942" s="1315"/>
      <c r="S942" s="1315"/>
      <c r="T942" s="1315"/>
      <c r="U942" s="1315"/>
      <c r="V942" s="1315"/>
      <c r="W942" s="1315"/>
      <c r="X942" s="1315"/>
      <c r="Y942" s="1315"/>
    </row>
    <row r="943" spans="1:25" x14ac:dyDescent="0.2">
      <c r="A943" s="1730"/>
      <c r="B943" s="1730"/>
      <c r="C943" s="1730"/>
      <c r="D943" s="1730"/>
      <c r="E943" s="1314"/>
      <c r="R943" s="1315"/>
      <c r="S943" s="1315"/>
      <c r="T943" s="1315"/>
      <c r="U943" s="1315"/>
      <c r="V943" s="1315"/>
      <c r="W943" s="1315"/>
      <c r="X943" s="1315"/>
      <c r="Y943" s="1315"/>
    </row>
    <row r="944" spans="1:25" x14ac:dyDescent="0.2">
      <c r="A944" s="1730"/>
      <c r="B944" s="1730"/>
      <c r="C944" s="1730"/>
      <c r="D944" s="1730"/>
      <c r="E944" s="1314"/>
      <c r="R944" s="1315"/>
      <c r="S944" s="1315"/>
      <c r="T944" s="1315"/>
      <c r="U944" s="1315"/>
      <c r="V944" s="1315"/>
      <c r="W944" s="1315"/>
      <c r="X944" s="1315"/>
      <c r="Y944" s="1315"/>
    </row>
    <row r="945" spans="1:25" x14ac:dyDescent="0.2">
      <c r="A945" s="1730"/>
      <c r="B945" s="1730"/>
      <c r="C945" s="1730"/>
      <c r="D945" s="1730"/>
      <c r="E945" s="1314"/>
      <c r="R945" s="1315"/>
      <c r="S945" s="1315"/>
      <c r="T945" s="1315"/>
      <c r="U945" s="1315"/>
      <c r="V945" s="1315"/>
      <c r="W945" s="1315"/>
      <c r="X945" s="1315"/>
      <c r="Y945" s="1315"/>
    </row>
    <row r="946" spans="1:25" x14ac:dyDescent="0.2">
      <c r="A946" s="1730"/>
      <c r="B946" s="1730"/>
      <c r="C946" s="1730"/>
      <c r="D946" s="1730"/>
      <c r="E946" s="1314"/>
      <c r="R946" s="1315"/>
      <c r="S946" s="1315"/>
      <c r="T946" s="1315"/>
      <c r="U946" s="1315"/>
      <c r="V946" s="1315"/>
      <c r="W946" s="1315"/>
      <c r="X946" s="1315"/>
      <c r="Y946" s="1315"/>
    </row>
    <row r="947" spans="1:25" x14ac:dyDescent="0.2">
      <c r="A947" s="1730"/>
      <c r="B947" s="1730"/>
      <c r="C947" s="1730"/>
      <c r="D947" s="1730"/>
      <c r="E947" s="1314"/>
      <c r="R947" s="1315"/>
      <c r="S947" s="1315"/>
      <c r="T947" s="1315"/>
      <c r="U947" s="1315"/>
      <c r="V947" s="1315"/>
      <c r="W947" s="1315"/>
      <c r="X947" s="1315"/>
      <c r="Y947" s="1315"/>
    </row>
    <row r="948" spans="1:25" x14ac:dyDescent="0.2">
      <c r="A948" s="1730"/>
      <c r="B948" s="1730"/>
      <c r="C948" s="1730"/>
      <c r="D948" s="1730"/>
      <c r="E948" s="1314"/>
      <c r="R948" s="1315"/>
      <c r="S948" s="1315"/>
      <c r="T948" s="1315"/>
      <c r="U948" s="1315"/>
      <c r="V948" s="1315"/>
      <c r="W948" s="1315"/>
      <c r="X948" s="1315"/>
      <c r="Y948" s="1315"/>
    </row>
    <row r="949" spans="1:25" x14ac:dyDescent="0.2">
      <c r="A949" s="1730"/>
      <c r="B949" s="1730"/>
      <c r="C949" s="1730"/>
      <c r="D949" s="1730"/>
      <c r="E949" s="1314"/>
      <c r="R949" s="1315"/>
      <c r="S949" s="1315"/>
      <c r="T949" s="1315"/>
      <c r="U949" s="1315"/>
      <c r="V949" s="1315"/>
      <c r="W949" s="1315"/>
      <c r="X949" s="1315"/>
      <c r="Y949" s="1315"/>
    </row>
    <row r="950" spans="1:25" x14ac:dyDescent="0.2">
      <c r="A950" s="1730"/>
      <c r="B950" s="1730"/>
      <c r="C950" s="1730"/>
      <c r="D950" s="1730"/>
      <c r="E950" s="1314"/>
      <c r="R950" s="1315"/>
      <c r="S950" s="1315"/>
      <c r="T950" s="1315"/>
      <c r="U950" s="1315"/>
      <c r="V950" s="1315"/>
      <c r="W950" s="1315"/>
      <c r="X950" s="1315"/>
      <c r="Y950" s="1315"/>
    </row>
    <row r="951" spans="1:25" x14ac:dyDescent="0.2">
      <c r="A951" s="1730"/>
      <c r="B951" s="1730"/>
      <c r="C951" s="1730"/>
      <c r="D951" s="1730"/>
      <c r="E951" s="1314"/>
      <c r="R951" s="1315"/>
      <c r="S951" s="1315"/>
      <c r="T951" s="1315"/>
      <c r="U951" s="1315"/>
      <c r="V951" s="1315"/>
      <c r="W951" s="1315"/>
      <c r="X951" s="1315"/>
      <c r="Y951" s="1315"/>
    </row>
    <row r="952" spans="1:25" x14ac:dyDescent="0.2">
      <c r="A952" s="1730"/>
      <c r="B952" s="1730"/>
      <c r="C952" s="1730"/>
      <c r="D952" s="1730"/>
      <c r="E952" s="1314"/>
      <c r="R952" s="1315"/>
      <c r="S952" s="1315"/>
      <c r="T952" s="1315"/>
      <c r="U952" s="1315"/>
      <c r="V952" s="1315"/>
      <c r="W952" s="1315"/>
      <c r="X952" s="1315"/>
      <c r="Y952" s="1315"/>
    </row>
    <row r="953" spans="1:25" x14ac:dyDescent="0.2">
      <c r="A953" s="1730"/>
      <c r="B953" s="1730"/>
      <c r="C953" s="1730"/>
      <c r="D953" s="1730"/>
      <c r="E953" s="1314"/>
      <c r="R953" s="1315"/>
      <c r="S953" s="1315"/>
      <c r="T953" s="1315"/>
      <c r="U953" s="1315"/>
      <c r="V953" s="1315"/>
      <c r="W953" s="1315"/>
      <c r="X953" s="1315"/>
      <c r="Y953" s="1315"/>
    </row>
    <row r="954" spans="1:25" x14ac:dyDescent="0.2">
      <c r="A954" s="1730"/>
      <c r="B954" s="1730"/>
      <c r="C954" s="1730"/>
      <c r="D954" s="1730"/>
      <c r="E954" s="1314"/>
      <c r="R954" s="1315"/>
      <c r="S954" s="1315"/>
      <c r="T954" s="1315"/>
      <c r="U954" s="1315"/>
      <c r="V954" s="1315"/>
      <c r="W954" s="1315"/>
      <c r="X954" s="1315"/>
      <c r="Y954" s="1315"/>
    </row>
    <row r="955" spans="1:25" x14ac:dyDescent="0.2">
      <c r="A955" s="1730"/>
      <c r="B955" s="1730"/>
      <c r="C955" s="1730"/>
      <c r="D955" s="1730"/>
      <c r="E955" s="1314"/>
      <c r="R955" s="1315"/>
      <c r="S955" s="1315"/>
      <c r="T955" s="1315"/>
      <c r="U955" s="1315"/>
      <c r="V955" s="1315"/>
      <c r="W955" s="1315"/>
      <c r="X955" s="1315"/>
      <c r="Y955" s="1315"/>
    </row>
    <row r="956" spans="1:25" x14ac:dyDescent="0.2">
      <c r="A956" s="1730"/>
      <c r="B956" s="1730"/>
      <c r="C956" s="1730"/>
      <c r="D956" s="1730"/>
      <c r="E956" s="1314"/>
      <c r="R956" s="1315"/>
      <c r="S956" s="1315"/>
      <c r="T956" s="1315"/>
      <c r="U956" s="1315"/>
      <c r="V956" s="1315"/>
      <c r="W956" s="1315"/>
      <c r="X956" s="1315"/>
      <c r="Y956" s="1315"/>
    </row>
    <row r="957" spans="1:25" x14ac:dyDescent="0.2">
      <c r="A957" s="1730"/>
      <c r="B957" s="1730"/>
      <c r="C957" s="1730"/>
      <c r="D957" s="1730"/>
      <c r="E957" s="1314"/>
      <c r="R957" s="1315"/>
      <c r="S957" s="1315"/>
      <c r="T957" s="1315"/>
      <c r="U957" s="1315"/>
      <c r="V957" s="1315"/>
      <c r="W957" s="1315"/>
      <c r="X957" s="1315"/>
      <c r="Y957" s="1315"/>
    </row>
    <row r="958" spans="1:25" x14ac:dyDescent="0.2">
      <c r="A958" s="1730"/>
      <c r="B958" s="1730"/>
      <c r="C958" s="1730"/>
      <c r="D958" s="1730"/>
      <c r="E958" s="1314"/>
      <c r="R958" s="1315"/>
      <c r="S958" s="1315"/>
      <c r="T958" s="1315"/>
      <c r="U958" s="1315"/>
      <c r="V958" s="1315"/>
      <c r="W958" s="1315"/>
      <c r="X958" s="1315"/>
      <c r="Y958" s="1315"/>
    </row>
    <row r="959" spans="1:25" x14ac:dyDescent="0.2">
      <c r="A959" s="1730"/>
      <c r="B959" s="1730"/>
      <c r="C959" s="1730"/>
      <c r="D959" s="1730"/>
      <c r="E959" s="1314"/>
      <c r="R959" s="1315"/>
      <c r="S959" s="1315"/>
      <c r="T959" s="1315"/>
      <c r="U959" s="1315"/>
      <c r="V959" s="1315"/>
      <c r="W959" s="1315"/>
      <c r="X959" s="1315"/>
      <c r="Y959" s="1315"/>
    </row>
    <row r="960" spans="1:25" x14ac:dyDescent="0.2">
      <c r="A960" s="1730"/>
      <c r="B960" s="1730"/>
      <c r="C960" s="1730"/>
      <c r="D960" s="1730"/>
      <c r="E960" s="1314"/>
      <c r="R960" s="1315"/>
      <c r="S960" s="1315"/>
      <c r="T960" s="1315"/>
      <c r="U960" s="1315"/>
      <c r="V960" s="1315"/>
      <c r="W960" s="1315"/>
      <c r="X960" s="1315"/>
      <c r="Y960" s="1315"/>
    </row>
    <row r="961" spans="1:25" x14ac:dyDescent="0.2">
      <c r="A961" s="1730"/>
      <c r="B961" s="1730"/>
      <c r="C961" s="1730"/>
      <c r="D961" s="1730"/>
      <c r="E961" s="1314"/>
      <c r="R961" s="1315"/>
      <c r="S961" s="1315"/>
      <c r="T961" s="1315"/>
      <c r="U961" s="1315"/>
      <c r="V961" s="1315"/>
      <c r="W961" s="1315"/>
      <c r="X961" s="1315"/>
      <c r="Y961" s="1315"/>
    </row>
    <row r="962" spans="1:25" x14ac:dyDescent="0.2">
      <c r="A962" s="1730"/>
      <c r="B962" s="1730"/>
      <c r="C962" s="1730"/>
      <c r="D962" s="1730"/>
      <c r="E962" s="1314"/>
      <c r="R962" s="1315"/>
      <c r="S962" s="1315"/>
      <c r="T962" s="1315"/>
      <c r="U962" s="1315"/>
      <c r="V962" s="1315"/>
      <c r="W962" s="1315"/>
      <c r="X962" s="1315"/>
      <c r="Y962" s="1315"/>
    </row>
    <row r="963" spans="1:25" x14ac:dyDescent="0.2">
      <c r="A963" s="1730"/>
      <c r="B963" s="1730"/>
      <c r="C963" s="1730"/>
      <c r="D963" s="1730"/>
      <c r="E963" s="1314"/>
      <c r="R963" s="1315"/>
      <c r="S963" s="1315"/>
      <c r="T963" s="1315"/>
      <c r="U963" s="1315"/>
      <c r="V963" s="1315"/>
      <c r="W963" s="1315"/>
      <c r="X963" s="1315"/>
      <c r="Y963" s="1315"/>
    </row>
    <row r="964" spans="1:25" x14ac:dyDescent="0.2">
      <c r="A964" s="1730"/>
      <c r="B964" s="1730"/>
      <c r="C964" s="1730"/>
      <c r="D964" s="1730"/>
      <c r="E964" s="1314"/>
      <c r="R964" s="1315"/>
      <c r="S964" s="1315"/>
      <c r="T964" s="1315"/>
      <c r="U964" s="1315"/>
      <c r="V964" s="1315"/>
      <c r="W964" s="1315"/>
      <c r="X964" s="1315"/>
      <c r="Y964" s="1315"/>
    </row>
    <row r="965" spans="1:25" x14ac:dyDescent="0.2">
      <c r="A965" s="1730"/>
      <c r="B965" s="1730"/>
      <c r="C965" s="1730"/>
      <c r="D965" s="1730"/>
      <c r="E965" s="1314"/>
      <c r="R965" s="1315"/>
      <c r="S965" s="1315"/>
      <c r="T965" s="1315"/>
      <c r="U965" s="1315"/>
      <c r="V965" s="1315"/>
      <c r="W965" s="1315"/>
      <c r="X965" s="1315"/>
      <c r="Y965" s="1315"/>
    </row>
    <row r="966" spans="1:25" x14ac:dyDescent="0.2">
      <c r="A966" s="1730"/>
      <c r="B966" s="1730"/>
      <c r="C966" s="1730"/>
      <c r="D966" s="1730"/>
      <c r="E966" s="1314"/>
      <c r="R966" s="1315"/>
      <c r="S966" s="1315"/>
      <c r="T966" s="1315"/>
      <c r="U966" s="1315"/>
      <c r="V966" s="1315"/>
      <c r="W966" s="1315"/>
      <c r="X966" s="1315"/>
      <c r="Y966" s="1315"/>
    </row>
    <row r="967" spans="1:25" x14ac:dyDescent="0.2">
      <c r="A967" s="1730"/>
      <c r="B967" s="1730"/>
      <c r="C967" s="1730"/>
      <c r="D967" s="1730"/>
      <c r="E967" s="1314"/>
      <c r="R967" s="1315"/>
      <c r="S967" s="1315"/>
      <c r="T967" s="1315"/>
      <c r="U967" s="1315"/>
      <c r="V967" s="1315"/>
      <c r="W967" s="1315"/>
      <c r="X967" s="1315"/>
      <c r="Y967" s="1315"/>
    </row>
    <row r="968" spans="1:25" x14ac:dyDescent="0.2">
      <c r="A968" s="1730"/>
      <c r="B968" s="1730"/>
      <c r="C968" s="1730"/>
      <c r="D968" s="1730"/>
      <c r="E968" s="1314"/>
      <c r="R968" s="1315"/>
      <c r="S968" s="1315"/>
      <c r="T968" s="1315"/>
      <c r="U968" s="1315"/>
      <c r="V968" s="1315"/>
      <c r="W968" s="1315"/>
      <c r="X968" s="1315"/>
      <c r="Y968" s="1315"/>
    </row>
    <row r="969" spans="1:25" x14ac:dyDescent="0.2">
      <c r="A969" s="1730"/>
      <c r="B969" s="1730"/>
      <c r="C969" s="1730"/>
      <c r="D969" s="1730"/>
      <c r="E969" s="1314"/>
      <c r="R969" s="1315"/>
      <c r="S969" s="1315"/>
      <c r="T969" s="1315"/>
      <c r="U969" s="1315"/>
      <c r="V969" s="1315"/>
      <c r="W969" s="1315"/>
      <c r="X969" s="1315"/>
      <c r="Y969" s="1315"/>
    </row>
    <row r="970" spans="1:25" x14ac:dyDescent="0.2">
      <c r="A970" s="1730"/>
      <c r="B970" s="1730"/>
      <c r="C970" s="1730"/>
      <c r="D970" s="1730"/>
      <c r="E970" s="1314"/>
      <c r="R970" s="1315"/>
      <c r="S970" s="1315"/>
      <c r="T970" s="1315"/>
      <c r="U970" s="1315"/>
      <c r="V970" s="1315"/>
      <c r="W970" s="1315"/>
      <c r="X970" s="1315"/>
      <c r="Y970" s="1315"/>
    </row>
    <row r="971" spans="1:25" x14ac:dyDescent="0.2">
      <c r="A971" s="1730"/>
      <c r="B971" s="1730"/>
      <c r="C971" s="1730"/>
      <c r="D971" s="1730"/>
      <c r="E971" s="1314"/>
      <c r="R971" s="1315"/>
      <c r="S971" s="1315"/>
      <c r="T971" s="1315"/>
      <c r="U971" s="1315"/>
      <c r="V971" s="1315"/>
      <c r="W971" s="1315"/>
      <c r="X971" s="1315"/>
      <c r="Y971" s="1315"/>
    </row>
    <row r="972" spans="1:25" x14ac:dyDescent="0.2">
      <c r="A972" s="1730"/>
      <c r="B972" s="1730"/>
      <c r="C972" s="1730"/>
      <c r="D972" s="1730"/>
      <c r="E972" s="1314"/>
      <c r="R972" s="1315"/>
      <c r="S972" s="1315"/>
      <c r="T972" s="1315"/>
      <c r="U972" s="1315"/>
      <c r="V972" s="1315"/>
      <c r="W972" s="1315"/>
      <c r="X972" s="1315"/>
      <c r="Y972" s="1315"/>
    </row>
    <row r="973" spans="1:25" x14ac:dyDescent="0.2">
      <c r="A973" s="1730"/>
      <c r="B973" s="1730"/>
      <c r="C973" s="1730"/>
      <c r="D973" s="1730"/>
      <c r="E973" s="1314"/>
      <c r="R973" s="1315"/>
      <c r="S973" s="1315"/>
      <c r="T973" s="1315"/>
      <c r="U973" s="1315"/>
      <c r="V973" s="1315"/>
      <c r="W973" s="1315"/>
      <c r="X973" s="1315"/>
      <c r="Y973" s="1315"/>
    </row>
    <row r="974" spans="1:25" x14ac:dyDescent="0.2">
      <c r="A974" s="1730"/>
      <c r="B974" s="1730"/>
      <c r="C974" s="1730"/>
      <c r="D974" s="1730"/>
      <c r="E974" s="1314"/>
      <c r="R974" s="1315"/>
      <c r="S974" s="1315"/>
      <c r="T974" s="1315"/>
      <c r="U974" s="1315"/>
      <c r="V974" s="1315"/>
      <c r="W974" s="1315"/>
      <c r="X974" s="1315"/>
      <c r="Y974" s="1315"/>
    </row>
    <row r="975" spans="1:25" x14ac:dyDescent="0.2">
      <c r="A975" s="1730"/>
      <c r="B975" s="1730"/>
      <c r="C975" s="1730"/>
      <c r="D975" s="1730"/>
      <c r="E975" s="1314"/>
      <c r="R975" s="1315"/>
      <c r="S975" s="1315"/>
      <c r="T975" s="1315"/>
      <c r="U975" s="1315"/>
      <c r="V975" s="1315"/>
      <c r="W975" s="1315"/>
      <c r="X975" s="1315"/>
      <c r="Y975" s="1315"/>
    </row>
    <row r="976" spans="1:25" x14ac:dyDescent="0.2">
      <c r="A976" s="1730"/>
      <c r="B976" s="1730"/>
      <c r="C976" s="1730"/>
      <c r="D976" s="1730"/>
      <c r="E976" s="1314"/>
      <c r="R976" s="1315"/>
      <c r="S976" s="1315"/>
      <c r="T976" s="1315"/>
      <c r="U976" s="1315"/>
      <c r="V976" s="1315"/>
      <c r="W976" s="1315"/>
      <c r="X976" s="1315"/>
      <c r="Y976" s="1315"/>
    </row>
    <row r="977" spans="1:25" x14ac:dyDescent="0.2">
      <c r="A977" s="1730"/>
      <c r="B977" s="1730"/>
      <c r="C977" s="1730"/>
      <c r="D977" s="1730"/>
      <c r="E977" s="1314"/>
      <c r="R977" s="1315"/>
      <c r="S977" s="1315"/>
      <c r="T977" s="1315"/>
      <c r="U977" s="1315"/>
      <c r="V977" s="1315"/>
      <c r="W977" s="1315"/>
      <c r="X977" s="1315"/>
      <c r="Y977" s="1315"/>
    </row>
    <row r="978" spans="1:25" x14ac:dyDescent="0.2">
      <c r="A978" s="1730"/>
      <c r="B978" s="1730"/>
      <c r="C978" s="1730"/>
      <c r="D978" s="1730"/>
      <c r="E978" s="1314"/>
      <c r="R978" s="1315"/>
      <c r="S978" s="1315"/>
      <c r="T978" s="1315"/>
      <c r="U978" s="1315"/>
      <c r="V978" s="1315"/>
      <c r="W978" s="1315"/>
      <c r="X978" s="1315"/>
      <c r="Y978" s="1315"/>
    </row>
    <row r="979" spans="1:25" x14ac:dyDescent="0.2">
      <c r="A979" s="1730"/>
      <c r="B979" s="1730"/>
      <c r="C979" s="1730"/>
      <c r="D979" s="1730"/>
      <c r="E979" s="1314"/>
      <c r="R979" s="1315"/>
      <c r="S979" s="1315"/>
      <c r="T979" s="1315"/>
      <c r="U979" s="1315"/>
      <c r="V979" s="1315"/>
      <c r="W979" s="1315"/>
      <c r="X979" s="1315"/>
      <c r="Y979" s="1315"/>
    </row>
    <row r="980" spans="1:25" x14ac:dyDescent="0.2">
      <c r="A980" s="1730"/>
      <c r="B980" s="1730"/>
      <c r="C980" s="1730"/>
      <c r="D980" s="1730"/>
      <c r="E980" s="1314"/>
      <c r="R980" s="1315"/>
      <c r="S980" s="1315"/>
      <c r="T980" s="1315"/>
      <c r="U980" s="1315"/>
      <c r="V980" s="1315"/>
      <c r="W980" s="1315"/>
      <c r="X980" s="1315"/>
      <c r="Y980" s="1315"/>
    </row>
    <row r="981" spans="1:25" x14ac:dyDescent="0.2">
      <c r="A981" s="1730"/>
      <c r="B981" s="1730"/>
      <c r="C981" s="1730"/>
      <c r="D981" s="1730"/>
      <c r="E981" s="1314"/>
      <c r="R981" s="1315"/>
      <c r="S981" s="1315"/>
      <c r="T981" s="1315"/>
      <c r="U981" s="1315"/>
      <c r="V981" s="1315"/>
      <c r="W981" s="1315"/>
      <c r="X981" s="1315"/>
      <c r="Y981" s="1315"/>
    </row>
    <row r="982" spans="1:25" x14ac:dyDescent="0.2">
      <c r="A982" s="1730"/>
      <c r="B982" s="1730"/>
      <c r="C982" s="1730"/>
      <c r="D982" s="1730"/>
      <c r="E982" s="1314"/>
      <c r="R982" s="1315"/>
      <c r="S982" s="1315"/>
      <c r="T982" s="1315"/>
      <c r="U982" s="1315"/>
      <c r="V982" s="1315"/>
      <c r="W982" s="1315"/>
      <c r="X982" s="1315"/>
      <c r="Y982" s="1315"/>
    </row>
    <row r="983" spans="1:25" x14ac:dyDescent="0.2">
      <c r="A983" s="1730"/>
      <c r="B983" s="1730"/>
      <c r="C983" s="1730"/>
      <c r="D983" s="1730"/>
      <c r="E983" s="1314"/>
      <c r="R983" s="1315"/>
      <c r="S983" s="1315"/>
      <c r="T983" s="1315"/>
      <c r="U983" s="1315"/>
      <c r="V983" s="1315"/>
      <c r="W983" s="1315"/>
      <c r="X983" s="1315"/>
      <c r="Y983" s="1315"/>
    </row>
    <row r="984" spans="1:25" x14ac:dyDescent="0.2">
      <c r="A984" s="1730"/>
      <c r="B984" s="1730"/>
      <c r="C984" s="1730"/>
      <c r="D984" s="1730"/>
      <c r="E984" s="1314"/>
      <c r="R984" s="1315"/>
      <c r="S984" s="1315"/>
      <c r="T984" s="1315"/>
      <c r="U984" s="1315"/>
      <c r="V984" s="1315"/>
      <c r="W984" s="1315"/>
      <c r="X984" s="1315"/>
      <c r="Y984" s="1315"/>
    </row>
    <row r="985" spans="1:25" x14ac:dyDescent="0.2">
      <c r="A985" s="1730"/>
      <c r="B985" s="1730"/>
      <c r="C985" s="1730"/>
      <c r="D985" s="1730"/>
      <c r="E985" s="1314"/>
      <c r="R985" s="1315"/>
      <c r="S985" s="1315"/>
      <c r="T985" s="1315"/>
      <c r="U985" s="1315"/>
      <c r="V985" s="1315"/>
      <c r="W985" s="1315"/>
      <c r="X985" s="1315"/>
      <c r="Y985" s="1315"/>
    </row>
    <row r="986" spans="1:25" x14ac:dyDescent="0.2">
      <c r="A986" s="1730"/>
      <c r="B986" s="1730"/>
      <c r="C986" s="1730"/>
      <c r="D986" s="1730"/>
      <c r="E986" s="1314"/>
      <c r="R986" s="1315"/>
      <c r="S986" s="1315"/>
      <c r="T986" s="1315"/>
      <c r="U986" s="1315"/>
      <c r="V986" s="1315"/>
      <c r="W986" s="1315"/>
      <c r="X986" s="1315"/>
      <c r="Y986" s="1315"/>
    </row>
    <row r="987" spans="1:25" x14ac:dyDescent="0.2">
      <c r="A987" s="1730"/>
      <c r="B987" s="1730"/>
      <c r="C987" s="1730"/>
      <c r="D987" s="1730"/>
      <c r="E987" s="1314"/>
      <c r="R987" s="1315"/>
      <c r="S987" s="1315"/>
      <c r="T987" s="1315"/>
      <c r="U987" s="1315"/>
      <c r="V987" s="1315"/>
      <c r="W987" s="1315"/>
      <c r="X987" s="1315"/>
      <c r="Y987" s="1315"/>
    </row>
    <row r="988" spans="1:25" x14ac:dyDescent="0.2">
      <c r="A988" s="1730"/>
      <c r="B988" s="1730"/>
      <c r="C988" s="1730"/>
      <c r="D988" s="1730"/>
      <c r="E988" s="1314"/>
      <c r="R988" s="1315"/>
      <c r="S988" s="1315"/>
      <c r="T988" s="1315"/>
      <c r="U988" s="1315"/>
      <c r="V988" s="1315"/>
      <c r="W988" s="1315"/>
      <c r="X988" s="1315"/>
      <c r="Y988" s="1315"/>
    </row>
    <row r="989" spans="1:25" x14ac:dyDescent="0.2">
      <c r="A989" s="1730"/>
      <c r="B989" s="1730"/>
      <c r="C989" s="1730"/>
      <c r="D989" s="1730"/>
      <c r="E989" s="1314"/>
      <c r="R989" s="1315"/>
      <c r="S989" s="1315"/>
      <c r="T989" s="1315"/>
      <c r="U989" s="1315"/>
      <c r="V989" s="1315"/>
      <c r="W989" s="1315"/>
      <c r="X989" s="1315"/>
      <c r="Y989" s="1315"/>
    </row>
    <row r="990" spans="1:25" x14ac:dyDescent="0.2">
      <c r="A990" s="1730"/>
      <c r="B990" s="1730"/>
      <c r="C990" s="1730"/>
      <c r="D990" s="1730"/>
      <c r="E990" s="1314"/>
      <c r="R990" s="1315"/>
      <c r="S990" s="1315"/>
      <c r="T990" s="1315"/>
      <c r="U990" s="1315"/>
      <c r="V990" s="1315"/>
      <c r="W990" s="1315"/>
      <c r="X990" s="1315"/>
      <c r="Y990" s="1315"/>
    </row>
    <row r="991" spans="1:25" x14ac:dyDescent="0.2">
      <c r="A991" s="1730"/>
      <c r="B991" s="1730"/>
      <c r="C991" s="1730"/>
      <c r="D991" s="1730"/>
      <c r="E991" s="1314"/>
      <c r="R991" s="1315"/>
      <c r="S991" s="1315"/>
      <c r="T991" s="1315"/>
      <c r="U991" s="1315"/>
      <c r="V991" s="1315"/>
      <c r="W991" s="1315"/>
      <c r="X991" s="1315"/>
      <c r="Y991" s="1315"/>
    </row>
    <row r="992" spans="1:25" x14ac:dyDescent="0.2">
      <c r="A992" s="1730"/>
      <c r="B992" s="1730"/>
      <c r="C992" s="1730"/>
      <c r="D992" s="1730"/>
      <c r="E992" s="1314"/>
      <c r="R992" s="1315"/>
      <c r="S992" s="1315"/>
      <c r="T992" s="1315"/>
      <c r="U992" s="1315"/>
      <c r="V992" s="1315"/>
      <c r="W992" s="1315"/>
      <c r="X992" s="1315"/>
      <c r="Y992" s="1315"/>
    </row>
    <row r="993" spans="1:25" x14ac:dyDescent="0.2">
      <c r="A993" s="1730"/>
      <c r="B993" s="1730"/>
      <c r="C993" s="1730"/>
      <c r="D993" s="1730"/>
      <c r="E993" s="1314"/>
      <c r="R993" s="1315"/>
      <c r="S993" s="1315"/>
      <c r="T993" s="1315"/>
      <c r="U993" s="1315"/>
      <c r="V993" s="1315"/>
      <c r="W993" s="1315"/>
      <c r="X993" s="1315"/>
      <c r="Y993" s="1315"/>
    </row>
    <row r="994" spans="1:25" x14ac:dyDescent="0.2">
      <c r="A994" s="1730"/>
      <c r="B994" s="1730"/>
      <c r="C994" s="1730"/>
      <c r="D994" s="1730"/>
      <c r="E994" s="1314"/>
      <c r="R994" s="1315"/>
      <c r="S994" s="1315"/>
      <c r="T994" s="1315"/>
      <c r="U994" s="1315"/>
      <c r="V994" s="1315"/>
      <c r="W994" s="1315"/>
      <c r="X994" s="1315"/>
      <c r="Y994" s="1315"/>
    </row>
    <row r="995" spans="1:25" x14ac:dyDescent="0.2">
      <c r="A995" s="1730"/>
      <c r="B995" s="1730"/>
      <c r="C995" s="1730"/>
      <c r="D995" s="1730"/>
      <c r="E995" s="1314"/>
      <c r="R995" s="1315"/>
      <c r="S995" s="1315"/>
      <c r="T995" s="1315"/>
      <c r="U995" s="1315"/>
      <c r="V995" s="1315"/>
      <c r="W995" s="1315"/>
      <c r="X995" s="1315"/>
      <c r="Y995" s="1315"/>
    </row>
    <row r="996" spans="1:25" x14ac:dyDescent="0.2">
      <c r="A996" s="1730"/>
      <c r="B996" s="1730"/>
      <c r="C996" s="1730"/>
      <c r="D996" s="1730"/>
      <c r="E996" s="1314"/>
      <c r="R996" s="1315"/>
      <c r="S996" s="1315"/>
      <c r="T996" s="1315"/>
      <c r="U996" s="1315"/>
      <c r="V996" s="1315"/>
      <c r="W996" s="1315"/>
      <c r="X996" s="1315"/>
      <c r="Y996" s="1315"/>
    </row>
    <row r="997" spans="1:25" x14ac:dyDescent="0.2">
      <c r="A997" s="1730"/>
      <c r="B997" s="1730"/>
      <c r="C997" s="1730"/>
      <c r="D997" s="1730"/>
      <c r="E997" s="1314"/>
      <c r="R997" s="1315"/>
      <c r="S997" s="1315"/>
      <c r="T997" s="1315"/>
      <c r="U997" s="1315"/>
      <c r="V997" s="1315"/>
      <c r="W997" s="1315"/>
      <c r="X997" s="1315"/>
      <c r="Y997" s="1315"/>
    </row>
    <row r="998" spans="1:25" x14ac:dyDescent="0.2">
      <c r="A998" s="1730"/>
      <c r="B998" s="1730"/>
      <c r="C998" s="1730"/>
      <c r="D998" s="1730"/>
      <c r="E998" s="1314"/>
      <c r="R998" s="1315"/>
      <c r="S998" s="1315"/>
      <c r="T998" s="1315"/>
      <c r="U998" s="1315"/>
      <c r="V998" s="1315"/>
      <c r="W998" s="1315"/>
      <c r="X998" s="1315"/>
      <c r="Y998" s="1315"/>
    </row>
    <row r="999" spans="1:25" x14ac:dyDescent="0.2">
      <c r="A999" s="1730"/>
      <c r="B999" s="1730"/>
      <c r="C999" s="1730"/>
      <c r="D999" s="1730"/>
      <c r="E999" s="1314"/>
      <c r="R999" s="1315"/>
      <c r="S999" s="1315"/>
      <c r="T999" s="1315"/>
      <c r="U999" s="1315"/>
      <c r="V999" s="1315"/>
      <c r="W999" s="1315"/>
      <c r="X999" s="1315"/>
      <c r="Y999" s="1315"/>
    </row>
    <row r="1000" spans="1:25" x14ac:dyDescent="0.2">
      <c r="A1000" s="1730"/>
      <c r="B1000" s="1730"/>
      <c r="C1000" s="1730"/>
      <c r="D1000" s="1730"/>
      <c r="E1000" s="1314"/>
      <c r="R1000" s="1315"/>
      <c r="S1000" s="1315"/>
      <c r="T1000" s="1315"/>
      <c r="U1000" s="1315"/>
      <c r="V1000" s="1315"/>
      <c r="W1000" s="1315"/>
      <c r="X1000" s="1315"/>
      <c r="Y1000" s="1315"/>
    </row>
    <row r="1001" spans="1:25" x14ac:dyDescent="0.2">
      <c r="A1001" s="1730"/>
      <c r="B1001" s="1730"/>
      <c r="C1001" s="1730"/>
      <c r="D1001" s="1730"/>
      <c r="E1001" s="1314"/>
      <c r="R1001" s="1315"/>
      <c r="S1001" s="1315"/>
      <c r="T1001" s="1315"/>
      <c r="U1001" s="1315"/>
      <c r="V1001" s="1315"/>
      <c r="W1001" s="1315"/>
      <c r="X1001" s="1315"/>
      <c r="Y1001" s="1315"/>
    </row>
    <row r="1002" spans="1:25" x14ac:dyDescent="0.2">
      <c r="A1002" s="1730"/>
      <c r="B1002" s="1730"/>
      <c r="C1002" s="1730"/>
      <c r="D1002" s="1730"/>
      <c r="E1002" s="1314"/>
      <c r="R1002" s="1315"/>
      <c r="S1002" s="1315"/>
      <c r="T1002" s="1315"/>
      <c r="U1002" s="1315"/>
      <c r="V1002" s="1315"/>
      <c r="W1002" s="1315"/>
      <c r="X1002" s="1315"/>
      <c r="Y1002" s="1315"/>
    </row>
    <row r="1003" spans="1:25" x14ac:dyDescent="0.2">
      <c r="A1003" s="1730"/>
      <c r="B1003" s="1730"/>
      <c r="C1003" s="1730"/>
      <c r="D1003" s="1730"/>
      <c r="E1003" s="1314"/>
      <c r="R1003" s="1315"/>
      <c r="S1003" s="1315"/>
      <c r="T1003" s="1315"/>
      <c r="U1003" s="1315"/>
      <c r="V1003" s="1315"/>
      <c r="W1003" s="1315"/>
      <c r="X1003" s="1315"/>
      <c r="Y1003" s="1315"/>
    </row>
    <row r="1004" spans="1:25" x14ac:dyDescent="0.2">
      <c r="A1004" s="1730"/>
      <c r="B1004" s="1730"/>
      <c r="C1004" s="1730"/>
      <c r="D1004" s="1730"/>
      <c r="E1004" s="1314"/>
      <c r="R1004" s="1315"/>
      <c r="S1004" s="1315"/>
      <c r="T1004" s="1315"/>
      <c r="U1004" s="1315"/>
      <c r="V1004" s="1315"/>
      <c r="W1004" s="1315"/>
      <c r="X1004" s="1315"/>
      <c r="Y1004" s="1315"/>
    </row>
    <row r="1005" spans="1:25" x14ac:dyDescent="0.2">
      <c r="A1005" s="1730"/>
      <c r="B1005" s="1730"/>
      <c r="C1005" s="1730"/>
      <c r="D1005" s="1730"/>
      <c r="E1005" s="1314"/>
      <c r="R1005" s="1315"/>
      <c r="S1005" s="1315"/>
      <c r="T1005" s="1315"/>
      <c r="U1005" s="1315"/>
      <c r="V1005" s="1315"/>
      <c r="W1005" s="1315"/>
      <c r="X1005" s="1315"/>
      <c r="Y1005" s="1315"/>
    </row>
    <row r="1006" spans="1:25" x14ac:dyDescent="0.2">
      <c r="A1006" s="1730"/>
      <c r="B1006" s="1730"/>
      <c r="C1006" s="1730"/>
      <c r="D1006" s="1730"/>
      <c r="E1006" s="1314"/>
      <c r="R1006" s="1315"/>
      <c r="S1006" s="1315"/>
      <c r="T1006" s="1315"/>
      <c r="U1006" s="1315"/>
      <c r="V1006" s="1315"/>
      <c r="W1006" s="1315"/>
      <c r="X1006" s="1315"/>
      <c r="Y1006" s="1315"/>
    </row>
    <row r="1007" spans="1:25" x14ac:dyDescent="0.2">
      <c r="A1007" s="1730"/>
      <c r="B1007" s="1730"/>
      <c r="C1007" s="1730"/>
      <c r="D1007" s="1730"/>
      <c r="E1007" s="1314"/>
      <c r="R1007" s="1315"/>
      <c r="S1007" s="1315"/>
      <c r="T1007" s="1315"/>
      <c r="U1007" s="1315"/>
      <c r="V1007" s="1315"/>
      <c r="W1007" s="1315"/>
      <c r="X1007" s="1315"/>
      <c r="Y1007" s="1315"/>
    </row>
    <row r="1008" spans="1:25" x14ac:dyDescent="0.2">
      <c r="A1008" s="1730"/>
      <c r="B1008" s="1730"/>
      <c r="C1008" s="1730"/>
      <c r="D1008" s="1730"/>
      <c r="E1008" s="1314"/>
      <c r="R1008" s="1315"/>
      <c r="S1008" s="1315"/>
      <c r="T1008" s="1315"/>
      <c r="U1008" s="1315"/>
      <c r="V1008" s="1315"/>
      <c r="W1008" s="1315"/>
      <c r="X1008" s="1315"/>
      <c r="Y1008" s="1315"/>
    </row>
    <row r="1009" spans="1:25" x14ac:dyDescent="0.2">
      <c r="A1009" s="1730"/>
      <c r="B1009" s="1730"/>
      <c r="C1009" s="1730"/>
      <c r="D1009" s="1730"/>
      <c r="E1009" s="1314"/>
      <c r="R1009" s="1315"/>
      <c r="S1009" s="1315"/>
      <c r="T1009" s="1315"/>
      <c r="U1009" s="1315"/>
      <c r="V1009" s="1315"/>
      <c r="W1009" s="1315"/>
      <c r="X1009" s="1315"/>
      <c r="Y1009" s="1315"/>
    </row>
    <row r="1010" spans="1:25" x14ac:dyDescent="0.2">
      <c r="A1010" s="1730"/>
      <c r="B1010" s="1730"/>
      <c r="C1010" s="1730"/>
      <c r="D1010" s="1730"/>
      <c r="E1010" s="1314"/>
      <c r="R1010" s="1315"/>
      <c r="S1010" s="1315"/>
      <c r="T1010" s="1315"/>
      <c r="U1010" s="1315"/>
      <c r="V1010" s="1315"/>
      <c r="W1010" s="1315"/>
      <c r="X1010" s="1315"/>
      <c r="Y1010" s="1315"/>
    </row>
    <row r="1011" spans="1:25" x14ac:dyDescent="0.2">
      <c r="A1011" s="1730"/>
      <c r="B1011" s="1730"/>
      <c r="C1011" s="1730"/>
      <c r="D1011" s="1730"/>
      <c r="E1011" s="1314"/>
      <c r="R1011" s="1315"/>
      <c r="S1011" s="1315"/>
      <c r="T1011" s="1315"/>
      <c r="U1011" s="1315"/>
      <c r="V1011" s="1315"/>
      <c r="W1011" s="1315"/>
      <c r="X1011" s="1315"/>
      <c r="Y1011" s="1315"/>
    </row>
    <row r="1012" spans="1:25" x14ac:dyDescent="0.2">
      <c r="A1012" s="1730"/>
      <c r="B1012" s="1730"/>
      <c r="C1012" s="1730"/>
      <c r="D1012" s="1730"/>
      <c r="E1012" s="1314"/>
      <c r="R1012" s="1315"/>
      <c r="S1012" s="1315"/>
      <c r="T1012" s="1315"/>
      <c r="U1012" s="1315"/>
      <c r="V1012" s="1315"/>
      <c r="W1012" s="1315"/>
      <c r="X1012" s="1315"/>
      <c r="Y1012" s="1315"/>
    </row>
    <row r="1013" spans="1:25" x14ac:dyDescent="0.2">
      <c r="A1013" s="1730"/>
      <c r="B1013" s="1730"/>
      <c r="C1013" s="1730"/>
      <c r="D1013" s="1730"/>
      <c r="E1013" s="1314"/>
      <c r="R1013" s="1315"/>
      <c r="S1013" s="1315"/>
      <c r="T1013" s="1315"/>
      <c r="U1013" s="1315"/>
      <c r="V1013" s="1315"/>
      <c r="W1013" s="1315"/>
      <c r="X1013" s="1315"/>
      <c r="Y1013" s="1315"/>
    </row>
    <row r="1014" spans="1:25" x14ac:dyDescent="0.2">
      <c r="A1014" s="1730"/>
      <c r="B1014" s="1730"/>
      <c r="C1014" s="1730"/>
      <c r="D1014" s="1730"/>
      <c r="E1014" s="1314"/>
      <c r="R1014" s="1315"/>
      <c r="S1014" s="1315"/>
      <c r="T1014" s="1315"/>
      <c r="U1014" s="1315"/>
      <c r="V1014" s="1315"/>
      <c r="W1014" s="1315"/>
      <c r="X1014" s="1315"/>
      <c r="Y1014" s="1315"/>
    </row>
    <row r="1015" spans="1:25" x14ac:dyDescent="0.2">
      <c r="A1015" s="1730"/>
      <c r="B1015" s="1730"/>
      <c r="C1015" s="1730"/>
      <c r="D1015" s="1730"/>
      <c r="E1015" s="1314"/>
      <c r="R1015" s="1315"/>
      <c r="S1015" s="1315"/>
      <c r="T1015" s="1315"/>
      <c r="U1015" s="1315"/>
      <c r="V1015" s="1315"/>
      <c r="W1015" s="1315"/>
      <c r="X1015" s="1315"/>
      <c r="Y1015" s="1315"/>
    </row>
    <row r="1016" spans="1:25" x14ac:dyDescent="0.2">
      <c r="A1016" s="1730"/>
      <c r="B1016" s="1730"/>
      <c r="C1016" s="1730"/>
      <c r="D1016" s="1730"/>
      <c r="E1016" s="1314"/>
      <c r="R1016" s="1315"/>
      <c r="S1016" s="1315"/>
      <c r="T1016" s="1315"/>
      <c r="U1016" s="1315"/>
      <c r="V1016" s="1315"/>
      <c r="W1016" s="1315"/>
      <c r="X1016" s="1315"/>
      <c r="Y1016" s="1315"/>
    </row>
    <row r="1017" spans="1:25" x14ac:dyDescent="0.2">
      <c r="A1017" s="1730"/>
      <c r="B1017" s="1730"/>
      <c r="C1017" s="1730"/>
      <c r="D1017" s="1730"/>
      <c r="E1017" s="1314"/>
      <c r="R1017" s="1315"/>
      <c r="S1017" s="1315"/>
      <c r="T1017" s="1315"/>
      <c r="U1017" s="1315"/>
      <c r="V1017" s="1315"/>
      <c r="W1017" s="1315"/>
      <c r="X1017" s="1315"/>
      <c r="Y1017" s="1315"/>
    </row>
    <row r="1018" spans="1:25" x14ac:dyDescent="0.2">
      <c r="A1018" s="1730"/>
      <c r="B1018" s="1730"/>
      <c r="C1018" s="1730"/>
      <c r="D1018" s="1730"/>
      <c r="E1018" s="1314"/>
      <c r="R1018" s="1315"/>
      <c r="S1018" s="1315"/>
      <c r="T1018" s="1315"/>
      <c r="U1018" s="1315"/>
      <c r="V1018" s="1315"/>
      <c r="W1018" s="1315"/>
      <c r="X1018" s="1315"/>
      <c r="Y1018" s="1315"/>
    </row>
    <row r="1019" spans="1:25" x14ac:dyDescent="0.2">
      <c r="A1019" s="1730"/>
      <c r="B1019" s="1730"/>
      <c r="C1019" s="1730"/>
      <c r="D1019" s="1730"/>
      <c r="E1019" s="1314"/>
      <c r="R1019" s="1315"/>
      <c r="S1019" s="1315"/>
      <c r="T1019" s="1315"/>
      <c r="U1019" s="1315"/>
      <c r="V1019" s="1315"/>
      <c r="W1019" s="1315"/>
      <c r="X1019" s="1315"/>
      <c r="Y1019" s="1315"/>
    </row>
    <row r="1020" spans="1:25" x14ac:dyDescent="0.2">
      <c r="A1020" s="1730"/>
      <c r="B1020" s="1730"/>
      <c r="C1020" s="1730"/>
      <c r="D1020" s="1730"/>
      <c r="E1020" s="1314"/>
      <c r="R1020" s="1315"/>
      <c r="S1020" s="1315"/>
      <c r="T1020" s="1315"/>
      <c r="U1020" s="1315"/>
      <c r="V1020" s="1315"/>
      <c r="W1020" s="1315"/>
      <c r="X1020" s="1315"/>
      <c r="Y1020" s="1315"/>
    </row>
    <row r="1021" spans="1:25" x14ac:dyDescent="0.2">
      <c r="A1021" s="1730"/>
      <c r="B1021" s="1730"/>
      <c r="C1021" s="1730"/>
      <c r="D1021" s="1730"/>
      <c r="E1021" s="1314"/>
      <c r="R1021" s="1315"/>
      <c r="S1021" s="1315"/>
      <c r="T1021" s="1315"/>
      <c r="U1021" s="1315"/>
      <c r="V1021" s="1315"/>
      <c r="W1021" s="1315"/>
      <c r="X1021" s="1315"/>
      <c r="Y1021" s="1315"/>
    </row>
    <row r="1022" spans="1:25" x14ac:dyDescent="0.2">
      <c r="A1022" s="1730"/>
      <c r="B1022" s="1730"/>
      <c r="C1022" s="1730"/>
      <c r="D1022" s="1730"/>
      <c r="E1022" s="1314"/>
      <c r="R1022" s="1315"/>
      <c r="S1022" s="1315"/>
      <c r="T1022" s="1315"/>
      <c r="U1022" s="1315"/>
      <c r="V1022" s="1315"/>
      <c r="W1022" s="1315"/>
      <c r="X1022" s="1315"/>
      <c r="Y1022" s="1315"/>
    </row>
    <row r="1023" spans="1:25" x14ac:dyDescent="0.2">
      <c r="A1023" s="1730"/>
      <c r="B1023" s="1730"/>
      <c r="C1023" s="1730"/>
      <c r="D1023" s="1730"/>
      <c r="E1023" s="1314"/>
      <c r="R1023" s="1315"/>
      <c r="S1023" s="1315"/>
      <c r="T1023" s="1315"/>
      <c r="U1023" s="1315"/>
      <c r="V1023" s="1315"/>
      <c r="W1023" s="1315"/>
      <c r="X1023" s="1315"/>
      <c r="Y1023" s="1315"/>
    </row>
    <row r="1024" spans="1:25" x14ac:dyDescent="0.2">
      <c r="A1024" s="1730"/>
      <c r="B1024" s="1730"/>
      <c r="C1024" s="1730"/>
      <c r="D1024" s="1730"/>
      <c r="E1024" s="1314"/>
      <c r="R1024" s="1315"/>
      <c r="S1024" s="1315"/>
      <c r="T1024" s="1315"/>
      <c r="U1024" s="1315"/>
      <c r="V1024" s="1315"/>
      <c r="W1024" s="1315"/>
      <c r="X1024" s="1315"/>
      <c r="Y1024" s="1315"/>
    </row>
    <row r="1025" spans="1:25" x14ac:dyDescent="0.2">
      <c r="A1025" s="1730"/>
      <c r="B1025" s="1730"/>
      <c r="C1025" s="1730"/>
      <c r="D1025" s="1730"/>
      <c r="E1025" s="1314"/>
      <c r="R1025" s="1315"/>
      <c r="S1025" s="1315"/>
      <c r="T1025" s="1315"/>
      <c r="U1025" s="1315"/>
      <c r="V1025" s="1315"/>
      <c r="W1025" s="1315"/>
      <c r="X1025" s="1315"/>
      <c r="Y1025" s="1315"/>
    </row>
    <row r="1026" spans="1:25" x14ac:dyDescent="0.2">
      <c r="A1026" s="1730"/>
      <c r="B1026" s="1730"/>
      <c r="C1026" s="1730"/>
      <c r="D1026" s="1730"/>
      <c r="E1026" s="1314"/>
      <c r="R1026" s="1315"/>
      <c r="S1026" s="1315"/>
      <c r="T1026" s="1315"/>
      <c r="U1026" s="1315"/>
      <c r="V1026" s="1315"/>
      <c r="W1026" s="1315"/>
      <c r="X1026" s="1315"/>
      <c r="Y1026" s="1315"/>
    </row>
    <row r="1027" spans="1:25" x14ac:dyDescent="0.2">
      <c r="A1027" s="1730"/>
      <c r="B1027" s="1730"/>
      <c r="C1027" s="1730"/>
      <c r="D1027" s="1730"/>
      <c r="E1027" s="1314"/>
      <c r="R1027" s="1315"/>
      <c r="S1027" s="1315"/>
      <c r="T1027" s="1315"/>
      <c r="U1027" s="1315"/>
      <c r="V1027" s="1315"/>
      <c r="W1027" s="1315"/>
      <c r="X1027" s="1315"/>
      <c r="Y1027" s="1315"/>
    </row>
    <row r="1028" spans="1:25" x14ac:dyDescent="0.2">
      <c r="A1028" s="1730"/>
      <c r="B1028" s="1730"/>
      <c r="C1028" s="1730"/>
      <c r="D1028" s="1730"/>
      <c r="E1028" s="1314"/>
      <c r="R1028" s="1315"/>
      <c r="S1028" s="1315"/>
      <c r="T1028" s="1315"/>
      <c r="U1028" s="1315"/>
      <c r="V1028" s="1315"/>
      <c r="W1028" s="1315"/>
      <c r="X1028" s="1315"/>
      <c r="Y1028" s="1315"/>
    </row>
    <row r="1029" spans="1:25" x14ac:dyDescent="0.2">
      <c r="A1029" s="1730"/>
      <c r="B1029" s="1730"/>
      <c r="C1029" s="1730"/>
      <c r="D1029" s="1730"/>
      <c r="E1029" s="1314"/>
      <c r="R1029" s="1315"/>
      <c r="S1029" s="1315"/>
      <c r="T1029" s="1315"/>
      <c r="U1029" s="1315"/>
      <c r="V1029" s="1315"/>
      <c r="W1029" s="1315"/>
      <c r="X1029" s="1315"/>
      <c r="Y1029" s="1315"/>
    </row>
    <row r="1030" spans="1:25" x14ac:dyDescent="0.2">
      <c r="A1030" s="1730"/>
      <c r="B1030" s="1730"/>
      <c r="C1030" s="1730"/>
      <c r="D1030" s="1730"/>
      <c r="E1030" s="1314"/>
      <c r="R1030" s="1315"/>
      <c r="S1030" s="1315"/>
      <c r="T1030" s="1315"/>
      <c r="U1030" s="1315"/>
      <c r="V1030" s="1315"/>
      <c r="W1030" s="1315"/>
      <c r="X1030" s="1315"/>
      <c r="Y1030" s="1315"/>
    </row>
    <row r="1031" spans="1:25" x14ac:dyDescent="0.2">
      <c r="A1031" s="1730"/>
      <c r="B1031" s="1730"/>
      <c r="C1031" s="1730"/>
      <c r="D1031" s="1730"/>
      <c r="E1031" s="1314"/>
      <c r="R1031" s="1315"/>
      <c r="S1031" s="1315"/>
      <c r="T1031" s="1315"/>
      <c r="U1031" s="1315"/>
      <c r="V1031" s="1315"/>
      <c r="W1031" s="1315"/>
      <c r="X1031" s="1315"/>
      <c r="Y1031" s="1315"/>
    </row>
    <row r="1032" spans="1:25" x14ac:dyDescent="0.2">
      <c r="A1032" s="1730"/>
      <c r="B1032" s="1730"/>
      <c r="C1032" s="1730"/>
      <c r="D1032" s="1730"/>
      <c r="E1032" s="1314"/>
      <c r="R1032" s="1315"/>
      <c r="S1032" s="1315"/>
      <c r="T1032" s="1315"/>
      <c r="U1032" s="1315"/>
      <c r="V1032" s="1315"/>
      <c r="W1032" s="1315"/>
      <c r="X1032" s="1315"/>
      <c r="Y1032" s="1315"/>
    </row>
    <row r="1033" spans="1:25" x14ac:dyDescent="0.2">
      <c r="A1033" s="1730"/>
      <c r="B1033" s="1730"/>
      <c r="C1033" s="1730"/>
      <c r="D1033" s="1730"/>
      <c r="E1033" s="1314"/>
      <c r="R1033" s="1315"/>
      <c r="S1033" s="1315"/>
      <c r="T1033" s="1315"/>
      <c r="U1033" s="1315"/>
      <c r="V1033" s="1315"/>
      <c r="W1033" s="1315"/>
      <c r="X1033" s="1315"/>
      <c r="Y1033" s="1315"/>
    </row>
    <row r="1034" spans="1:25" x14ac:dyDescent="0.2">
      <c r="A1034" s="1730"/>
      <c r="B1034" s="1730"/>
      <c r="C1034" s="1730"/>
      <c r="D1034" s="1730"/>
      <c r="E1034" s="1314"/>
      <c r="R1034" s="1315"/>
      <c r="S1034" s="1315"/>
      <c r="T1034" s="1315"/>
      <c r="U1034" s="1315"/>
      <c r="V1034" s="1315"/>
      <c r="W1034" s="1315"/>
      <c r="X1034" s="1315"/>
      <c r="Y1034" s="1315"/>
    </row>
    <row r="1035" spans="1:25" x14ac:dyDescent="0.2">
      <c r="A1035" s="1730"/>
      <c r="B1035" s="1730"/>
      <c r="C1035" s="1730"/>
      <c r="D1035" s="1730"/>
      <c r="E1035" s="1314"/>
      <c r="R1035" s="1315"/>
      <c r="S1035" s="1315"/>
      <c r="T1035" s="1315"/>
      <c r="U1035" s="1315"/>
      <c r="V1035" s="1315"/>
      <c r="W1035" s="1315"/>
      <c r="X1035" s="1315"/>
      <c r="Y1035" s="1315"/>
    </row>
    <row r="1036" spans="1:25" x14ac:dyDescent="0.2">
      <c r="A1036" s="1730"/>
      <c r="B1036" s="1730"/>
      <c r="C1036" s="1730"/>
      <c r="D1036" s="1730"/>
      <c r="E1036" s="1314"/>
      <c r="R1036" s="1315"/>
      <c r="S1036" s="1315"/>
      <c r="T1036" s="1315"/>
      <c r="U1036" s="1315"/>
      <c r="V1036" s="1315"/>
      <c r="W1036" s="1315"/>
      <c r="X1036" s="1315"/>
      <c r="Y1036" s="1315"/>
    </row>
    <row r="1037" spans="1:25" x14ac:dyDescent="0.2">
      <c r="A1037" s="1730"/>
      <c r="B1037" s="1730"/>
      <c r="C1037" s="1730"/>
      <c r="D1037" s="1730"/>
      <c r="E1037" s="1314"/>
      <c r="R1037" s="1315"/>
      <c r="S1037" s="1315"/>
      <c r="T1037" s="1315"/>
      <c r="U1037" s="1315"/>
      <c r="V1037" s="1315"/>
      <c r="W1037" s="1315"/>
      <c r="X1037" s="1315"/>
      <c r="Y1037" s="1315"/>
    </row>
    <row r="1038" spans="1:25" x14ac:dyDescent="0.2">
      <c r="A1038" s="1730"/>
      <c r="B1038" s="1730"/>
      <c r="C1038" s="1730"/>
      <c r="D1038" s="1730"/>
      <c r="E1038" s="1314"/>
      <c r="R1038" s="1315"/>
      <c r="S1038" s="1315"/>
      <c r="T1038" s="1315"/>
      <c r="U1038" s="1315"/>
      <c r="V1038" s="1315"/>
      <c r="W1038" s="1315"/>
      <c r="X1038" s="1315"/>
      <c r="Y1038" s="1315"/>
    </row>
    <row r="1039" spans="1:25" x14ac:dyDescent="0.2">
      <c r="A1039" s="1730"/>
      <c r="B1039" s="1730"/>
      <c r="C1039" s="1730"/>
      <c r="D1039" s="1730"/>
      <c r="E1039" s="1314"/>
      <c r="R1039" s="1315"/>
      <c r="S1039" s="1315"/>
      <c r="T1039" s="1315"/>
      <c r="U1039" s="1315"/>
      <c r="V1039" s="1315"/>
      <c r="W1039" s="1315"/>
      <c r="X1039" s="1315"/>
      <c r="Y1039" s="1315"/>
    </row>
    <row r="1040" spans="1:25" x14ac:dyDescent="0.2">
      <c r="A1040" s="1730"/>
      <c r="B1040" s="1730"/>
      <c r="C1040" s="1730"/>
      <c r="D1040" s="1730"/>
      <c r="E1040" s="1314"/>
      <c r="R1040" s="1315"/>
      <c r="S1040" s="1315"/>
      <c r="T1040" s="1315"/>
      <c r="U1040" s="1315"/>
      <c r="V1040" s="1315"/>
      <c r="W1040" s="1315"/>
      <c r="X1040" s="1315"/>
      <c r="Y1040" s="1315"/>
    </row>
    <row r="1041" spans="1:25" x14ac:dyDescent="0.2">
      <c r="A1041" s="1730"/>
      <c r="B1041" s="1730"/>
      <c r="C1041" s="1730"/>
      <c r="D1041" s="1730"/>
      <c r="E1041" s="1314"/>
      <c r="R1041" s="1315"/>
      <c r="S1041" s="1315"/>
      <c r="T1041" s="1315"/>
      <c r="U1041" s="1315"/>
      <c r="V1041" s="1315"/>
      <c r="W1041" s="1315"/>
      <c r="X1041" s="1315"/>
      <c r="Y1041" s="1315"/>
    </row>
    <row r="1042" spans="1:25" x14ac:dyDescent="0.2">
      <c r="A1042" s="1730"/>
      <c r="B1042" s="1730"/>
      <c r="C1042" s="1730"/>
      <c r="D1042" s="1730"/>
      <c r="E1042" s="1314"/>
      <c r="R1042" s="1315"/>
      <c r="S1042" s="1315"/>
      <c r="T1042" s="1315"/>
      <c r="U1042" s="1315"/>
      <c r="V1042" s="1315"/>
      <c r="W1042" s="1315"/>
      <c r="X1042" s="1315"/>
      <c r="Y1042" s="1315"/>
    </row>
    <row r="1043" spans="1:25" x14ac:dyDescent="0.2">
      <c r="A1043" s="1730"/>
      <c r="B1043" s="1730"/>
      <c r="C1043" s="1730"/>
      <c r="D1043" s="1730"/>
      <c r="E1043" s="1314"/>
      <c r="R1043" s="1315"/>
      <c r="S1043" s="1315"/>
      <c r="T1043" s="1315"/>
      <c r="U1043" s="1315"/>
      <c r="V1043" s="1315"/>
      <c r="W1043" s="1315"/>
      <c r="X1043" s="1315"/>
      <c r="Y1043" s="1315"/>
    </row>
    <row r="1044" spans="1:25" x14ac:dyDescent="0.2">
      <c r="A1044" s="1730"/>
      <c r="B1044" s="1730"/>
      <c r="C1044" s="1730"/>
      <c r="D1044" s="1730"/>
      <c r="E1044" s="1314"/>
      <c r="R1044" s="1315"/>
      <c r="S1044" s="1315"/>
      <c r="T1044" s="1315"/>
      <c r="U1044" s="1315"/>
      <c r="V1044" s="1315"/>
      <c r="W1044" s="1315"/>
      <c r="X1044" s="1315"/>
      <c r="Y1044" s="1315"/>
    </row>
    <row r="1045" spans="1:25" x14ac:dyDescent="0.2">
      <c r="A1045" s="1730"/>
      <c r="B1045" s="1730"/>
      <c r="C1045" s="1730"/>
      <c r="D1045" s="1730"/>
      <c r="E1045" s="1314"/>
      <c r="R1045" s="1315"/>
      <c r="S1045" s="1315"/>
      <c r="T1045" s="1315"/>
      <c r="U1045" s="1315"/>
      <c r="V1045" s="1315"/>
      <c r="W1045" s="1315"/>
      <c r="X1045" s="1315"/>
      <c r="Y1045" s="1315"/>
    </row>
    <row r="1046" spans="1:25" x14ac:dyDescent="0.2">
      <c r="A1046" s="1730"/>
      <c r="B1046" s="1730"/>
      <c r="C1046" s="1730"/>
      <c r="D1046" s="1730"/>
      <c r="E1046" s="1314"/>
      <c r="R1046" s="1315"/>
      <c r="S1046" s="1315"/>
      <c r="T1046" s="1315"/>
      <c r="U1046" s="1315"/>
      <c r="V1046" s="1315"/>
      <c r="W1046" s="1315"/>
      <c r="X1046" s="1315"/>
      <c r="Y1046" s="1315"/>
    </row>
    <row r="1047" spans="1:25" x14ac:dyDescent="0.2">
      <c r="A1047" s="1730"/>
      <c r="B1047" s="1730"/>
      <c r="C1047" s="1730"/>
      <c r="D1047" s="1730"/>
      <c r="E1047" s="1314"/>
      <c r="R1047" s="1315"/>
      <c r="S1047" s="1315"/>
      <c r="T1047" s="1315"/>
      <c r="U1047" s="1315"/>
      <c r="V1047" s="1315"/>
      <c r="W1047" s="1315"/>
      <c r="X1047" s="1315"/>
      <c r="Y1047" s="1315"/>
    </row>
    <row r="1048" spans="1:25" x14ac:dyDescent="0.2">
      <c r="A1048" s="1730"/>
      <c r="B1048" s="1730"/>
      <c r="C1048" s="1730"/>
      <c r="D1048" s="1730"/>
      <c r="E1048" s="1314"/>
      <c r="R1048" s="1315"/>
      <c r="S1048" s="1315"/>
      <c r="T1048" s="1315"/>
      <c r="U1048" s="1315"/>
      <c r="V1048" s="1315"/>
      <c r="W1048" s="1315"/>
      <c r="X1048" s="1315"/>
      <c r="Y1048" s="1315"/>
    </row>
    <row r="1049" spans="1:25" x14ac:dyDescent="0.2">
      <c r="A1049" s="1730"/>
      <c r="B1049" s="1730"/>
      <c r="C1049" s="1730"/>
      <c r="D1049" s="1730"/>
      <c r="E1049" s="1314"/>
      <c r="R1049" s="1315"/>
      <c r="S1049" s="1315"/>
      <c r="T1049" s="1315"/>
      <c r="U1049" s="1315"/>
      <c r="V1049" s="1315"/>
      <c r="W1049" s="1315"/>
      <c r="X1049" s="1315"/>
      <c r="Y1049" s="1315"/>
    </row>
    <row r="1050" spans="1:25" x14ac:dyDescent="0.2">
      <c r="A1050" s="1730"/>
      <c r="B1050" s="1730"/>
      <c r="C1050" s="1730"/>
      <c r="D1050" s="1730"/>
      <c r="E1050" s="1314"/>
      <c r="R1050" s="1315"/>
      <c r="S1050" s="1315"/>
      <c r="T1050" s="1315"/>
      <c r="U1050" s="1315"/>
      <c r="V1050" s="1315"/>
      <c r="W1050" s="1315"/>
      <c r="X1050" s="1315"/>
      <c r="Y1050" s="1315"/>
    </row>
    <row r="1051" spans="1:25" x14ac:dyDescent="0.2">
      <c r="A1051" s="1730"/>
      <c r="B1051" s="1730"/>
      <c r="C1051" s="1730"/>
      <c r="D1051" s="1730"/>
      <c r="E1051" s="1314"/>
      <c r="R1051" s="1315"/>
      <c r="S1051" s="1315"/>
      <c r="T1051" s="1315"/>
      <c r="U1051" s="1315"/>
      <c r="V1051" s="1315"/>
      <c r="W1051" s="1315"/>
      <c r="X1051" s="1315"/>
      <c r="Y1051" s="1315"/>
    </row>
    <row r="1052" spans="1:25" x14ac:dyDescent="0.2">
      <c r="A1052" s="1730"/>
      <c r="B1052" s="1730"/>
      <c r="C1052" s="1730"/>
      <c r="D1052" s="1730"/>
      <c r="E1052" s="1314"/>
      <c r="R1052" s="1315"/>
      <c r="S1052" s="1315"/>
      <c r="T1052" s="1315"/>
      <c r="U1052" s="1315"/>
      <c r="V1052" s="1315"/>
      <c r="W1052" s="1315"/>
      <c r="X1052" s="1315"/>
      <c r="Y1052" s="1315"/>
    </row>
    <row r="1053" spans="1:25" x14ac:dyDescent="0.2">
      <c r="A1053" s="1730"/>
      <c r="B1053" s="1730"/>
      <c r="C1053" s="1730"/>
      <c r="D1053" s="1730"/>
      <c r="E1053" s="1314"/>
      <c r="R1053" s="1315"/>
      <c r="S1053" s="1315"/>
      <c r="T1053" s="1315"/>
      <c r="U1053" s="1315"/>
      <c r="V1053" s="1315"/>
      <c r="W1053" s="1315"/>
      <c r="X1053" s="1315"/>
      <c r="Y1053" s="1315"/>
    </row>
    <row r="1054" spans="1:25" x14ac:dyDescent="0.2">
      <c r="A1054" s="1730"/>
      <c r="B1054" s="1730"/>
      <c r="C1054" s="1730"/>
      <c r="D1054" s="1730"/>
      <c r="E1054" s="1314"/>
      <c r="R1054" s="1315"/>
      <c r="S1054" s="1315"/>
      <c r="T1054" s="1315"/>
      <c r="U1054" s="1315"/>
      <c r="V1054" s="1315"/>
      <c r="W1054" s="1315"/>
      <c r="X1054" s="1315"/>
      <c r="Y1054" s="1315"/>
    </row>
    <row r="1055" spans="1:25" x14ac:dyDescent="0.2">
      <c r="A1055" s="1730"/>
      <c r="B1055" s="1730"/>
      <c r="C1055" s="1730"/>
      <c r="D1055" s="1730"/>
      <c r="E1055" s="1314"/>
      <c r="R1055" s="1315"/>
      <c r="S1055" s="1315"/>
      <c r="T1055" s="1315"/>
      <c r="U1055" s="1315"/>
      <c r="V1055" s="1315"/>
      <c r="W1055" s="1315"/>
      <c r="X1055" s="1315"/>
      <c r="Y1055" s="1315"/>
    </row>
    <row r="1056" spans="1:25" x14ac:dyDescent="0.2">
      <c r="A1056" s="1730"/>
      <c r="B1056" s="1730"/>
      <c r="C1056" s="1730"/>
      <c r="D1056" s="1730"/>
      <c r="E1056" s="1314"/>
      <c r="R1056" s="1315"/>
      <c r="S1056" s="1315"/>
      <c r="T1056" s="1315"/>
      <c r="U1056" s="1315"/>
      <c r="V1056" s="1315"/>
      <c r="W1056" s="1315"/>
      <c r="X1056" s="1315"/>
      <c r="Y1056" s="1315"/>
    </row>
    <row r="1057" spans="1:25" x14ac:dyDescent="0.2">
      <c r="A1057" s="1730"/>
      <c r="B1057" s="1730"/>
      <c r="C1057" s="1730"/>
      <c r="D1057" s="1730"/>
      <c r="E1057" s="1314"/>
      <c r="R1057" s="1315"/>
      <c r="S1057" s="1315"/>
      <c r="T1057" s="1315"/>
      <c r="U1057" s="1315"/>
      <c r="V1057" s="1315"/>
      <c r="W1057" s="1315"/>
      <c r="X1057" s="1315"/>
      <c r="Y1057" s="1315"/>
    </row>
    <row r="1058" spans="1:25" x14ac:dyDescent="0.2">
      <c r="A1058" s="1730"/>
      <c r="B1058" s="1730"/>
      <c r="C1058" s="1730"/>
      <c r="D1058" s="1730"/>
      <c r="E1058" s="1314"/>
      <c r="R1058" s="1315"/>
      <c r="S1058" s="1315"/>
      <c r="T1058" s="1315"/>
      <c r="U1058" s="1315"/>
      <c r="V1058" s="1315"/>
      <c r="W1058" s="1315"/>
      <c r="X1058" s="1315"/>
      <c r="Y1058" s="1315"/>
    </row>
    <row r="1059" spans="1:25" x14ac:dyDescent="0.2">
      <c r="A1059" s="1730"/>
      <c r="B1059" s="1730"/>
      <c r="C1059" s="1730"/>
      <c r="D1059" s="1730"/>
      <c r="E1059" s="1314"/>
      <c r="R1059" s="1315"/>
      <c r="S1059" s="1315"/>
      <c r="T1059" s="1315"/>
      <c r="U1059" s="1315"/>
      <c r="V1059" s="1315"/>
      <c r="W1059" s="1315"/>
      <c r="X1059" s="1315"/>
      <c r="Y1059" s="1315"/>
    </row>
    <row r="1060" spans="1:25" x14ac:dyDescent="0.2">
      <c r="A1060" s="1730"/>
      <c r="B1060" s="1730"/>
      <c r="C1060" s="1730"/>
      <c r="D1060" s="1730"/>
      <c r="E1060" s="1314"/>
      <c r="R1060" s="1315"/>
      <c r="S1060" s="1315"/>
      <c r="T1060" s="1315"/>
      <c r="U1060" s="1315"/>
      <c r="V1060" s="1315"/>
      <c r="W1060" s="1315"/>
      <c r="X1060" s="1315"/>
      <c r="Y1060" s="1315"/>
    </row>
    <row r="1061" spans="1:25" x14ac:dyDescent="0.2">
      <c r="A1061" s="1730"/>
      <c r="B1061" s="1730"/>
      <c r="C1061" s="1730"/>
      <c r="D1061" s="1730"/>
      <c r="E1061" s="1314"/>
      <c r="R1061" s="1315"/>
      <c r="S1061" s="1315"/>
      <c r="T1061" s="1315"/>
      <c r="U1061" s="1315"/>
      <c r="V1061" s="1315"/>
      <c r="W1061" s="1315"/>
      <c r="X1061" s="1315"/>
      <c r="Y1061" s="1315"/>
    </row>
    <row r="1062" spans="1:25" x14ac:dyDescent="0.2">
      <c r="A1062" s="1730"/>
      <c r="B1062" s="1730"/>
      <c r="C1062" s="1730"/>
      <c r="D1062" s="1730"/>
      <c r="E1062" s="1314"/>
      <c r="R1062" s="1315"/>
      <c r="S1062" s="1315"/>
      <c r="T1062" s="1315"/>
      <c r="U1062" s="1315"/>
      <c r="V1062" s="1315"/>
      <c r="W1062" s="1315"/>
      <c r="X1062" s="1315"/>
      <c r="Y1062" s="1315"/>
    </row>
    <row r="1063" spans="1:25" x14ac:dyDescent="0.2">
      <c r="A1063" s="1730"/>
      <c r="B1063" s="1730"/>
      <c r="C1063" s="1730"/>
      <c r="D1063" s="1730"/>
      <c r="E1063" s="1314"/>
      <c r="R1063" s="1315"/>
      <c r="S1063" s="1315"/>
      <c r="T1063" s="1315"/>
      <c r="U1063" s="1315"/>
      <c r="V1063" s="1315"/>
      <c r="W1063" s="1315"/>
      <c r="X1063" s="1315"/>
      <c r="Y1063" s="1315"/>
    </row>
    <row r="1064" spans="1:25" x14ac:dyDescent="0.2">
      <c r="A1064" s="1730"/>
      <c r="B1064" s="1730"/>
      <c r="C1064" s="1730"/>
      <c r="D1064" s="1730"/>
      <c r="E1064" s="1314"/>
      <c r="R1064" s="1315"/>
      <c r="S1064" s="1315"/>
      <c r="T1064" s="1315"/>
      <c r="U1064" s="1315"/>
      <c r="V1064" s="1315"/>
      <c r="W1064" s="1315"/>
      <c r="X1064" s="1315"/>
      <c r="Y1064" s="1315"/>
    </row>
    <row r="1065" spans="1:25" x14ac:dyDescent="0.2">
      <c r="A1065" s="1730"/>
      <c r="B1065" s="1730"/>
      <c r="C1065" s="1730"/>
      <c r="D1065" s="1730"/>
      <c r="E1065" s="1314"/>
      <c r="R1065" s="1315"/>
      <c r="S1065" s="1315"/>
      <c r="T1065" s="1315"/>
      <c r="U1065" s="1315"/>
      <c r="V1065" s="1315"/>
      <c r="W1065" s="1315"/>
      <c r="X1065" s="1315"/>
      <c r="Y1065" s="1315"/>
    </row>
    <row r="1066" spans="1:25" x14ac:dyDescent="0.2">
      <c r="A1066" s="1730"/>
      <c r="B1066" s="1730"/>
      <c r="C1066" s="1730"/>
      <c r="D1066" s="1730"/>
      <c r="E1066" s="1314"/>
      <c r="R1066" s="1315"/>
      <c r="S1066" s="1315"/>
      <c r="T1066" s="1315"/>
      <c r="U1066" s="1315"/>
      <c r="V1066" s="1315"/>
      <c r="W1066" s="1315"/>
      <c r="X1066" s="1315"/>
      <c r="Y1066" s="1315"/>
    </row>
    <row r="1067" spans="1:25" x14ac:dyDescent="0.2">
      <c r="A1067" s="1730"/>
      <c r="B1067" s="1730"/>
      <c r="C1067" s="1730"/>
      <c r="D1067" s="1730"/>
      <c r="E1067" s="1314"/>
      <c r="R1067" s="1315"/>
      <c r="S1067" s="1315"/>
      <c r="T1067" s="1315"/>
      <c r="U1067" s="1315"/>
      <c r="V1067" s="1315"/>
      <c r="W1067" s="1315"/>
      <c r="X1067" s="1315"/>
      <c r="Y1067" s="1315"/>
    </row>
    <row r="1068" spans="1:25" x14ac:dyDescent="0.2">
      <c r="A1068" s="1730"/>
      <c r="B1068" s="1730"/>
      <c r="C1068" s="1730"/>
      <c r="D1068" s="1730"/>
      <c r="E1068" s="1314"/>
      <c r="R1068" s="1315"/>
      <c r="S1068" s="1315"/>
      <c r="T1068" s="1315"/>
      <c r="U1068" s="1315"/>
      <c r="V1068" s="1315"/>
      <c r="W1068" s="1315"/>
      <c r="X1068" s="1315"/>
      <c r="Y1068" s="1315"/>
    </row>
    <row r="1069" spans="1:25" x14ac:dyDescent="0.2">
      <c r="A1069" s="1730"/>
      <c r="B1069" s="1730"/>
      <c r="C1069" s="1730"/>
      <c r="D1069" s="1730"/>
      <c r="E1069" s="1314"/>
      <c r="R1069" s="1315"/>
      <c r="S1069" s="1315"/>
      <c r="T1069" s="1315"/>
      <c r="U1069" s="1315"/>
      <c r="V1069" s="1315"/>
      <c r="W1069" s="1315"/>
      <c r="X1069" s="1315"/>
      <c r="Y1069" s="1315"/>
    </row>
    <row r="1070" spans="1:25" x14ac:dyDescent="0.2">
      <c r="A1070" s="1730"/>
      <c r="B1070" s="1730"/>
      <c r="C1070" s="1730"/>
      <c r="D1070" s="1730"/>
      <c r="E1070" s="1314"/>
      <c r="R1070" s="1315"/>
      <c r="S1070" s="1315"/>
      <c r="T1070" s="1315"/>
      <c r="U1070" s="1315"/>
      <c r="V1070" s="1315"/>
      <c r="W1070" s="1315"/>
      <c r="X1070" s="1315"/>
      <c r="Y1070" s="1315"/>
    </row>
    <row r="1071" spans="1:25" x14ac:dyDescent="0.2">
      <c r="A1071" s="1730"/>
      <c r="B1071" s="1730"/>
      <c r="C1071" s="1730"/>
      <c r="D1071" s="1730"/>
      <c r="E1071" s="1314"/>
      <c r="R1071" s="1315"/>
      <c r="S1071" s="1315"/>
      <c r="T1071" s="1315"/>
      <c r="U1071" s="1315"/>
      <c r="V1071" s="1315"/>
      <c r="W1071" s="1315"/>
      <c r="X1071" s="1315"/>
      <c r="Y1071" s="1315"/>
    </row>
    <row r="1072" spans="1:25" x14ac:dyDescent="0.2">
      <c r="A1072" s="1730"/>
      <c r="B1072" s="1730"/>
      <c r="C1072" s="1730"/>
      <c r="D1072" s="1730"/>
      <c r="E1072" s="1314"/>
      <c r="R1072" s="1315"/>
      <c r="S1072" s="1315"/>
      <c r="T1072" s="1315"/>
      <c r="U1072" s="1315"/>
      <c r="V1072" s="1315"/>
      <c r="W1072" s="1315"/>
      <c r="X1072" s="1315"/>
      <c r="Y1072" s="1315"/>
    </row>
    <row r="1073" spans="1:25" x14ac:dyDescent="0.2">
      <c r="A1073" s="1730"/>
      <c r="B1073" s="1730"/>
      <c r="C1073" s="1730"/>
      <c r="D1073" s="1730"/>
      <c r="E1073" s="1314"/>
      <c r="R1073" s="1315"/>
      <c r="S1073" s="1315"/>
      <c r="T1073" s="1315"/>
      <c r="U1073" s="1315"/>
      <c r="V1073" s="1315"/>
      <c r="W1073" s="1315"/>
      <c r="X1073" s="1315"/>
      <c r="Y1073" s="1315"/>
    </row>
    <row r="1074" spans="1:25" x14ac:dyDescent="0.2">
      <c r="A1074" s="1730"/>
      <c r="B1074" s="1730"/>
      <c r="C1074" s="1730"/>
      <c r="D1074" s="1730"/>
      <c r="E1074" s="1314"/>
      <c r="R1074" s="1315"/>
      <c r="S1074" s="1315"/>
      <c r="T1074" s="1315"/>
      <c r="U1074" s="1315"/>
      <c r="V1074" s="1315"/>
      <c r="W1074" s="1315"/>
      <c r="X1074" s="1315"/>
      <c r="Y1074" s="1315"/>
    </row>
    <row r="1075" spans="1:25" x14ac:dyDescent="0.2">
      <c r="A1075" s="1730"/>
      <c r="B1075" s="1730"/>
      <c r="C1075" s="1730"/>
      <c r="D1075" s="1730"/>
      <c r="E1075" s="1314"/>
      <c r="R1075" s="1315"/>
      <c r="S1075" s="1315"/>
      <c r="T1075" s="1315"/>
      <c r="U1075" s="1315"/>
      <c r="V1075" s="1315"/>
      <c r="W1075" s="1315"/>
      <c r="X1075" s="1315"/>
      <c r="Y1075" s="1315"/>
    </row>
    <row r="1076" spans="1:25" x14ac:dyDescent="0.2">
      <c r="A1076" s="1730"/>
      <c r="B1076" s="1730"/>
      <c r="C1076" s="1730"/>
      <c r="D1076" s="1730"/>
      <c r="E1076" s="1314"/>
      <c r="R1076" s="1315"/>
      <c r="S1076" s="1315"/>
      <c r="T1076" s="1315"/>
      <c r="U1076" s="1315"/>
      <c r="V1076" s="1315"/>
      <c r="W1076" s="1315"/>
      <c r="X1076" s="1315"/>
      <c r="Y1076" s="1315"/>
    </row>
    <row r="1077" spans="1:25" x14ac:dyDescent="0.2">
      <c r="A1077" s="1730"/>
      <c r="B1077" s="1730"/>
      <c r="C1077" s="1730"/>
      <c r="D1077" s="1730"/>
      <c r="E1077" s="1314"/>
      <c r="R1077" s="1315"/>
      <c r="S1077" s="1315"/>
      <c r="T1077" s="1315"/>
      <c r="U1077" s="1315"/>
      <c r="V1077" s="1315"/>
      <c r="W1077" s="1315"/>
      <c r="X1077" s="1315"/>
      <c r="Y1077" s="1315"/>
    </row>
    <row r="1078" spans="1:25" x14ac:dyDescent="0.2">
      <c r="A1078" s="1730"/>
      <c r="B1078" s="1730"/>
      <c r="C1078" s="1730"/>
      <c r="D1078" s="1730"/>
      <c r="E1078" s="1314"/>
      <c r="R1078" s="1315"/>
      <c r="S1078" s="1315"/>
      <c r="T1078" s="1315"/>
      <c r="U1078" s="1315"/>
      <c r="V1078" s="1315"/>
      <c r="W1078" s="1315"/>
      <c r="X1078" s="1315"/>
      <c r="Y1078" s="1315"/>
    </row>
    <row r="1079" spans="1:25" x14ac:dyDescent="0.2">
      <c r="A1079" s="1730"/>
      <c r="B1079" s="1730"/>
      <c r="C1079" s="1730"/>
      <c r="D1079" s="1730"/>
      <c r="E1079" s="1314"/>
      <c r="R1079" s="1315"/>
      <c r="S1079" s="1315"/>
      <c r="T1079" s="1315"/>
      <c r="U1079" s="1315"/>
      <c r="V1079" s="1315"/>
      <c r="W1079" s="1315"/>
      <c r="X1079" s="1315"/>
      <c r="Y1079" s="1315"/>
    </row>
    <row r="1080" spans="1:25" x14ac:dyDescent="0.2">
      <c r="A1080" s="1730"/>
      <c r="B1080" s="1730"/>
      <c r="C1080" s="1730"/>
      <c r="D1080" s="1730"/>
      <c r="E1080" s="1314"/>
      <c r="R1080" s="1315"/>
      <c r="S1080" s="1315"/>
      <c r="T1080" s="1315"/>
      <c r="U1080" s="1315"/>
      <c r="V1080" s="1315"/>
      <c r="W1080" s="1315"/>
      <c r="X1080" s="1315"/>
      <c r="Y1080" s="1315"/>
    </row>
    <row r="1081" spans="1:25" x14ac:dyDescent="0.2">
      <c r="A1081" s="1730"/>
      <c r="B1081" s="1730"/>
      <c r="C1081" s="1730"/>
      <c r="D1081" s="1730"/>
      <c r="E1081" s="1314"/>
      <c r="R1081" s="1315"/>
      <c r="S1081" s="1315"/>
      <c r="T1081" s="1315"/>
      <c r="U1081" s="1315"/>
      <c r="V1081" s="1315"/>
      <c r="W1081" s="1315"/>
      <c r="X1081" s="1315"/>
      <c r="Y1081" s="1315"/>
    </row>
    <row r="1082" spans="1:25" x14ac:dyDescent="0.2">
      <c r="A1082" s="1730"/>
      <c r="B1082" s="1730"/>
      <c r="C1082" s="1730"/>
      <c r="D1082" s="1730"/>
      <c r="E1082" s="1314"/>
      <c r="R1082" s="1315"/>
      <c r="S1082" s="1315"/>
      <c r="T1082" s="1315"/>
      <c r="U1082" s="1315"/>
      <c r="V1082" s="1315"/>
      <c r="W1082" s="1315"/>
      <c r="X1082" s="1315"/>
      <c r="Y1082" s="1315"/>
    </row>
    <row r="1083" spans="1:25" x14ac:dyDescent="0.2">
      <c r="A1083" s="1730"/>
      <c r="B1083" s="1730"/>
      <c r="C1083" s="1730"/>
      <c r="D1083" s="1730"/>
      <c r="E1083" s="1314"/>
      <c r="R1083" s="1315"/>
      <c r="S1083" s="1315"/>
      <c r="T1083" s="1315"/>
      <c r="U1083" s="1315"/>
      <c r="V1083" s="1315"/>
      <c r="W1083" s="1315"/>
      <c r="X1083" s="1315"/>
      <c r="Y1083" s="1315"/>
    </row>
    <row r="1084" spans="1:25" x14ac:dyDescent="0.2">
      <c r="A1084" s="1730"/>
      <c r="B1084" s="1730"/>
      <c r="C1084" s="1730"/>
      <c r="D1084" s="1730"/>
      <c r="E1084" s="1314"/>
      <c r="R1084" s="1315"/>
      <c r="S1084" s="1315"/>
      <c r="T1084" s="1315"/>
      <c r="U1084" s="1315"/>
      <c r="V1084" s="1315"/>
      <c r="W1084" s="1315"/>
      <c r="X1084" s="1315"/>
      <c r="Y1084" s="1315"/>
    </row>
    <row r="1085" spans="1:25" x14ac:dyDescent="0.2">
      <c r="A1085" s="1730"/>
      <c r="B1085" s="1730"/>
      <c r="C1085" s="1730"/>
      <c r="D1085" s="1730"/>
      <c r="E1085" s="1314"/>
      <c r="R1085" s="1315"/>
      <c r="S1085" s="1315"/>
      <c r="T1085" s="1315"/>
      <c r="U1085" s="1315"/>
      <c r="V1085" s="1315"/>
      <c r="W1085" s="1315"/>
      <c r="X1085" s="1315"/>
      <c r="Y1085" s="1315"/>
    </row>
    <row r="1086" spans="1:25" x14ac:dyDescent="0.2">
      <c r="A1086" s="1730"/>
      <c r="B1086" s="1730"/>
      <c r="C1086" s="1730"/>
      <c r="D1086" s="1730"/>
      <c r="E1086" s="1314"/>
      <c r="R1086" s="1315"/>
      <c r="S1086" s="1315"/>
      <c r="T1086" s="1315"/>
      <c r="U1086" s="1315"/>
      <c r="V1086" s="1315"/>
      <c r="W1086" s="1315"/>
      <c r="X1086" s="1315"/>
      <c r="Y1086" s="1315"/>
    </row>
    <row r="1087" spans="1:25" x14ac:dyDescent="0.2">
      <c r="A1087" s="1730"/>
      <c r="B1087" s="1730"/>
      <c r="C1087" s="1730"/>
      <c r="D1087" s="1730"/>
      <c r="E1087" s="1314"/>
      <c r="R1087" s="1315"/>
      <c r="S1087" s="1315"/>
      <c r="T1087" s="1315"/>
      <c r="U1087" s="1315"/>
      <c r="V1087" s="1315"/>
      <c r="W1087" s="1315"/>
      <c r="X1087" s="1315"/>
      <c r="Y1087" s="1315"/>
    </row>
    <row r="1088" spans="1:25" x14ac:dyDescent="0.2">
      <c r="A1088" s="1730"/>
      <c r="B1088" s="1730"/>
      <c r="C1088" s="1730"/>
      <c r="D1088" s="1730"/>
      <c r="E1088" s="1314"/>
      <c r="R1088" s="1315"/>
      <c r="S1088" s="1315"/>
      <c r="T1088" s="1315"/>
      <c r="U1088" s="1315"/>
      <c r="V1088" s="1315"/>
      <c r="W1088" s="1315"/>
      <c r="X1088" s="1315"/>
      <c r="Y1088" s="1315"/>
    </row>
    <row r="1089" spans="1:25" x14ac:dyDescent="0.2">
      <c r="A1089" s="1730"/>
      <c r="B1089" s="1730"/>
      <c r="C1089" s="1730"/>
      <c r="D1089" s="1730"/>
      <c r="E1089" s="1314"/>
      <c r="R1089" s="1315"/>
      <c r="S1089" s="1315"/>
      <c r="T1089" s="1315"/>
      <c r="U1089" s="1315"/>
      <c r="V1089" s="1315"/>
      <c r="W1089" s="1315"/>
      <c r="X1089" s="1315"/>
      <c r="Y1089" s="1315"/>
    </row>
    <row r="1090" spans="1:25" x14ac:dyDescent="0.2">
      <c r="A1090" s="1730"/>
      <c r="B1090" s="1730"/>
      <c r="C1090" s="1730"/>
      <c r="D1090" s="1730"/>
      <c r="E1090" s="1314"/>
      <c r="R1090" s="1315"/>
      <c r="S1090" s="1315"/>
      <c r="T1090" s="1315"/>
      <c r="U1090" s="1315"/>
      <c r="V1090" s="1315"/>
      <c r="W1090" s="1315"/>
      <c r="X1090" s="1315"/>
      <c r="Y1090" s="1315"/>
    </row>
    <row r="1091" spans="1:25" x14ac:dyDescent="0.2">
      <c r="A1091" s="1730"/>
      <c r="B1091" s="1730"/>
      <c r="C1091" s="1730"/>
      <c r="D1091" s="1730"/>
      <c r="E1091" s="1314"/>
      <c r="R1091" s="1315"/>
      <c r="S1091" s="1315"/>
      <c r="T1091" s="1315"/>
      <c r="U1091" s="1315"/>
      <c r="V1091" s="1315"/>
      <c r="W1091" s="1315"/>
      <c r="X1091" s="1315"/>
      <c r="Y1091" s="1315"/>
    </row>
    <row r="1092" spans="1:25" x14ac:dyDescent="0.2">
      <c r="A1092" s="1730"/>
      <c r="B1092" s="1730"/>
      <c r="C1092" s="1730"/>
      <c r="D1092" s="1730"/>
      <c r="E1092" s="1314"/>
      <c r="R1092" s="1315"/>
      <c r="S1092" s="1315"/>
      <c r="T1092" s="1315"/>
      <c r="U1092" s="1315"/>
      <c r="V1092" s="1315"/>
      <c r="W1092" s="1315"/>
      <c r="X1092" s="1315"/>
      <c r="Y1092" s="1315"/>
    </row>
    <row r="1093" spans="1:25" x14ac:dyDescent="0.2">
      <c r="A1093" s="1730"/>
      <c r="B1093" s="1730"/>
      <c r="C1093" s="1730"/>
      <c r="D1093" s="1730"/>
      <c r="E1093" s="1314"/>
      <c r="R1093" s="1315"/>
      <c r="S1093" s="1315"/>
      <c r="T1093" s="1315"/>
      <c r="U1093" s="1315"/>
      <c r="V1093" s="1315"/>
      <c r="W1093" s="1315"/>
      <c r="X1093" s="1315"/>
      <c r="Y1093" s="1315"/>
    </row>
    <row r="1094" spans="1:25" x14ac:dyDescent="0.2">
      <c r="A1094" s="1730"/>
      <c r="B1094" s="1730"/>
      <c r="C1094" s="1730"/>
      <c r="D1094" s="1730"/>
      <c r="E1094" s="1314"/>
      <c r="R1094" s="1315"/>
      <c r="S1094" s="1315"/>
      <c r="T1094" s="1315"/>
      <c r="U1094" s="1315"/>
      <c r="V1094" s="1315"/>
      <c r="W1094" s="1315"/>
      <c r="X1094" s="1315"/>
      <c r="Y1094" s="1315"/>
    </row>
    <row r="1095" spans="1:25" x14ac:dyDescent="0.2">
      <c r="A1095" s="1730"/>
      <c r="B1095" s="1730"/>
      <c r="C1095" s="1730"/>
      <c r="D1095" s="1730"/>
      <c r="E1095" s="1314"/>
      <c r="R1095" s="1315"/>
      <c r="S1095" s="1315"/>
      <c r="T1095" s="1315"/>
      <c r="U1095" s="1315"/>
      <c r="V1095" s="1315"/>
      <c r="W1095" s="1315"/>
      <c r="X1095" s="1315"/>
      <c r="Y1095" s="1315"/>
    </row>
    <row r="1096" spans="1:25" x14ac:dyDescent="0.2">
      <c r="A1096" s="1730"/>
      <c r="B1096" s="1730"/>
      <c r="C1096" s="1730"/>
      <c r="D1096" s="1730"/>
      <c r="E1096" s="1314"/>
      <c r="R1096" s="1315"/>
      <c r="S1096" s="1315"/>
      <c r="T1096" s="1315"/>
      <c r="U1096" s="1315"/>
      <c r="V1096" s="1315"/>
      <c r="W1096" s="1315"/>
      <c r="X1096" s="1315"/>
      <c r="Y1096" s="1315"/>
    </row>
    <row r="1097" spans="1:25" x14ac:dyDescent="0.2">
      <c r="A1097" s="1730"/>
      <c r="B1097" s="1730"/>
      <c r="C1097" s="1730"/>
      <c r="D1097" s="1730"/>
      <c r="E1097" s="1314"/>
      <c r="R1097" s="1315"/>
      <c r="S1097" s="1315"/>
      <c r="T1097" s="1315"/>
      <c r="U1097" s="1315"/>
      <c r="V1097" s="1315"/>
      <c r="W1097" s="1315"/>
      <c r="X1097" s="1315"/>
      <c r="Y1097" s="1315"/>
    </row>
    <row r="1098" spans="1:25" x14ac:dyDescent="0.2">
      <c r="A1098" s="1730"/>
      <c r="B1098" s="1730"/>
      <c r="C1098" s="1730"/>
      <c r="D1098" s="1730"/>
      <c r="E1098" s="1314"/>
      <c r="R1098" s="1315"/>
      <c r="S1098" s="1315"/>
      <c r="T1098" s="1315"/>
      <c r="U1098" s="1315"/>
      <c r="V1098" s="1315"/>
      <c r="W1098" s="1315"/>
      <c r="X1098" s="1315"/>
      <c r="Y1098" s="1315"/>
    </row>
    <row r="1099" spans="1:25" x14ac:dyDescent="0.2">
      <c r="A1099" s="1730"/>
      <c r="B1099" s="1730"/>
      <c r="C1099" s="1730"/>
      <c r="D1099" s="1730"/>
      <c r="E1099" s="1314"/>
      <c r="R1099" s="1315"/>
      <c r="S1099" s="1315"/>
      <c r="T1099" s="1315"/>
      <c r="U1099" s="1315"/>
      <c r="V1099" s="1315"/>
      <c r="W1099" s="1315"/>
      <c r="X1099" s="1315"/>
      <c r="Y1099" s="1315"/>
    </row>
    <row r="1100" spans="1:25" x14ac:dyDescent="0.2">
      <c r="A1100" s="1730"/>
      <c r="B1100" s="1730"/>
      <c r="C1100" s="1730"/>
      <c r="D1100" s="1730"/>
      <c r="E1100" s="1314"/>
      <c r="R1100" s="1315"/>
      <c r="S1100" s="1315"/>
      <c r="T1100" s="1315"/>
      <c r="U1100" s="1315"/>
      <c r="V1100" s="1315"/>
      <c r="W1100" s="1315"/>
      <c r="X1100" s="1315"/>
      <c r="Y1100" s="1315"/>
    </row>
    <row r="1101" spans="1:25" x14ac:dyDescent="0.2">
      <c r="A1101" s="1730"/>
      <c r="B1101" s="1730"/>
      <c r="C1101" s="1730"/>
      <c r="D1101" s="1730"/>
      <c r="E1101" s="1314"/>
      <c r="R1101" s="1315"/>
      <c r="S1101" s="1315"/>
      <c r="T1101" s="1315"/>
      <c r="U1101" s="1315"/>
      <c r="V1101" s="1315"/>
      <c r="W1101" s="1315"/>
      <c r="X1101" s="1315"/>
      <c r="Y1101" s="1315"/>
    </row>
    <row r="1102" spans="1:25" x14ac:dyDescent="0.2">
      <c r="A1102" s="1730"/>
      <c r="B1102" s="1730"/>
      <c r="C1102" s="1730"/>
      <c r="D1102" s="1730"/>
      <c r="E1102" s="1314"/>
      <c r="R1102" s="1315"/>
      <c r="S1102" s="1315"/>
      <c r="T1102" s="1315"/>
      <c r="U1102" s="1315"/>
      <c r="V1102" s="1315"/>
      <c r="W1102" s="1315"/>
      <c r="X1102" s="1315"/>
      <c r="Y1102" s="1315"/>
    </row>
    <row r="1103" spans="1:25" x14ac:dyDescent="0.2">
      <c r="A1103" s="1730"/>
      <c r="B1103" s="1730"/>
      <c r="C1103" s="1730"/>
      <c r="D1103" s="1730"/>
      <c r="E1103" s="1314"/>
      <c r="R1103" s="1315"/>
      <c r="S1103" s="1315"/>
      <c r="T1103" s="1315"/>
      <c r="U1103" s="1315"/>
      <c r="V1103" s="1315"/>
      <c r="W1103" s="1315"/>
      <c r="X1103" s="1315"/>
      <c r="Y1103" s="1315"/>
    </row>
    <row r="1104" spans="1:25" x14ac:dyDescent="0.2">
      <c r="A1104" s="1730"/>
      <c r="B1104" s="1730"/>
      <c r="C1104" s="1730"/>
      <c r="D1104" s="1730"/>
      <c r="E1104" s="1314"/>
      <c r="R1104" s="1315"/>
      <c r="S1104" s="1315"/>
      <c r="T1104" s="1315"/>
      <c r="U1104" s="1315"/>
      <c r="V1104" s="1315"/>
      <c r="W1104" s="1315"/>
      <c r="X1104" s="1315"/>
      <c r="Y1104" s="1315"/>
    </row>
    <row r="1105" spans="1:25" x14ac:dyDescent="0.2">
      <c r="A1105" s="1730"/>
      <c r="B1105" s="1730"/>
      <c r="C1105" s="1730"/>
      <c r="D1105" s="1730"/>
      <c r="E1105" s="1314"/>
      <c r="R1105" s="1315"/>
      <c r="S1105" s="1315"/>
      <c r="T1105" s="1315"/>
      <c r="U1105" s="1315"/>
      <c r="V1105" s="1315"/>
      <c r="W1105" s="1315"/>
      <c r="X1105" s="1315"/>
      <c r="Y1105" s="1315"/>
    </row>
    <row r="1106" spans="1:25" x14ac:dyDescent="0.2">
      <c r="A1106" s="1730"/>
      <c r="B1106" s="1730"/>
      <c r="C1106" s="1730"/>
      <c r="D1106" s="1730"/>
      <c r="E1106" s="1314"/>
      <c r="R1106" s="1315"/>
      <c r="S1106" s="1315"/>
      <c r="T1106" s="1315"/>
      <c r="U1106" s="1315"/>
      <c r="V1106" s="1315"/>
      <c r="W1106" s="1315"/>
      <c r="X1106" s="1315"/>
      <c r="Y1106" s="1315"/>
    </row>
    <row r="1107" spans="1:25" x14ac:dyDescent="0.2">
      <c r="A1107" s="1730"/>
      <c r="B1107" s="1730"/>
      <c r="C1107" s="1730"/>
      <c r="D1107" s="1730"/>
      <c r="E1107" s="1314"/>
      <c r="R1107" s="1315"/>
      <c r="S1107" s="1315"/>
      <c r="T1107" s="1315"/>
      <c r="U1107" s="1315"/>
      <c r="V1107" s="1315"/>
      <c r="W1107" s="1315"/>
      <c r="X1107" s="1315"/>
      <c r="Y1107" s="1315"/>
    </row>
    <row r="1108" spans="1:25" x14ac:dyDescent="0.2">
      <c r="A1108" s="1730"/>
      <c r="B1108" s="1730"/>
      <c r="C1108" s="1730"/>
      <c r="D1108" s="1730"/>
      <c r="E1108" s="1314"/>
      <c r="R1108" s="1315"/>
      <c r="S1108" s="1315"/>
      <c r="T1108" s="1315"/>
      <c r="U1108" s="1315"/>
      <c r="V1108" s="1315"/>
      <c r="W1108" s="1315"/>
      <c r="X1108" s="1315"/>
      <c r="Y1108" s="1315"/>
    </row>
    <row r="1109" spans="1:25" x14ac:dyDescent="0.2">
      <c r="A1109" s="1730"/>
      <c r="B1109" s="1730"/>
      <c r="C1109" s="1730"/>
      <c r="D1109" s="1730"/>
      <c r="E1109" s="1314"/>
      <c r="R1109" s="1315"/>
      <c r="S1109" s="1315"/>
      <c r="T1109" s="1315"/>
      <c r="U1109" s="1315"/>
      <c r="V1109" s="1315"/>
      <c r="W1109" s="1315"/>
      <c r="X1109" s="1315"/>
      <c r="Y1109" s="1315"/>
    </row>
    <row r="1110" spans="1:25" x14ac:dyDescent="0.2">
      <c r="A1110" s="1730"/>
      <c r="B1110" s="1730"/>
      <c r="C1110" s="1730"/>
      <c r="D1110" s="1730"/>
      <c r="E1110" s="1314"/>
      <c r="R1110" s="1315"/>
      <c r="S1110" s="1315"/>
      <c r="T1110" s="1315"/>
      <c r="U1110" s="1315"/>
      <c r="V1110" s="1315"/>
      <c r="W1110" s="1315"/>
      <c r="X1110" s="1315"/>
      <c r="Y1110" s="1315"/>
    </row>
    <row r="1111" spans="1:25" x14ac:dyDescent="0.2">
      <c r="A1111" s="1730"/>
      <c r="B1111" s="1730"/>
      <c r="C1111" s="1730"/>
      <c r="D1111" s="1730"/>
      <c r="E1111" s="1314"/>
      <c r="R1111" s="1315"/>
      <c r="S1111" s="1315"/>
      <c r="T1111" s="1315"/>
      <c r="U1111" s="1315"/>
      <c r="V1111" s="1315"/>
      <c r="W1111" s="1315"/>
      <c r="X1111" s="1315"/>
      <c r="Y1111" s="1315"/>
    </row>
    <row r="1112" spans="1:25" x14ac:dyDescent="0.2">
      <c r="A1112" s="1730"/>
      <c r="B1112" s="1730"/>
      <c r="C1112" s="1730"/>
      <c r="D1112" s="1730"/>
      <c r="E1112" s="1314"/>
      <c r="R1112" s="1315"/>
      <c r="S1112" s="1315"/>
      <c r="T1112" s="1315"/>
      <c r="U1112" s="1315"/>
      <c r="V1112" s="1315"/>
      <c r="W1112" s="1315"/>
      <c r="X1112" s="1315"/>
      <c r="Y1112" s="1315"/>
    </row>
    <row r="1113" spans="1:25" x14ac:dyDescent="0.2">
      <c r="A1113" s="1730"/>
      <c r="B1113" s="1730"/>
      <c r="C1113" s="1730"/>
      <c r="D1113" s="1730"/>
      <c r="E1113" s="1314"/>
      <c r="R1113" s="1315"/>
      <c r="S1113" s="1315"/>
      <c r="T1113" s="1315"/>
      <c r="U1113" s="1315"/>
      <c r="V1113" s="1315"/>
      <c r="W1113" s="1315"/>
      <c r="X1113" s="1315"/>
      <c r="Y1113" s="1315"/>
    </row>
    <row r="1114" spans="1:25" x14ac:dyDescent="0.2">
      <c r="A1114" s="1730"/>
      <c r="B1114" s="1730"/>
      <c r="C1114" s="1730"/>
      <c r="D1114" s="1730"/>
      <c r="E1114" s="1314"/>
      <c r="R1114" s="1315"/>
      <c r="S1114" s="1315"/>
      <c r="T1114" s="1315"/>
      <c r="U1114" s="1315"/>
      <c r="V1114" s="1315"/>
      <c r="W1114" s="1315"/>
      <c r="X1114" s="1315"/>
      <c r="Y1114" s="1315"/>
    </row>
    <row r="1115" spans="1:25" x14ac:dyDescent="0.2">
      <c r="A1115" s="1730"/>
      <c r="B1115" s="1730"/>
      <c r="C1115" s="1730"/>
      <c r="D1115" s="1730"/>
      <c r="E1115" s="1314"/>
      <c r="R1115" s="1315"/>
      <c r="S1115" s="1315"/>
      <c r="T1115" s="1315"/>
      <c r="U1115" s="1315"/>
      <c r="V1115" s="1315"/>
      <c r="W1115" s="1315"/>
      <c r="X1115" s="1315"/>
      <c r="Y1115" s="1315"/>
    </row>
    <row r="1116" spans="1:25" x14ac:dyDescent="0.2">
      <c r="A1116" s="1730"/>
      <c r="B1116" s="1730"/>
      <c r="C1116" s="1730"/>
      <c r="D1116" s="1730"/>
      <c r="E1116" s="1314"/>
      <c r="R1116" s="1315"/>
      <c r="S1116" s="1315"/>
      <c r="T1116" s="1315"/>
      <c r="U1116" s="1315"/>
      <c r="V1116" s="1315"/>
      <c r="W1116" s="1315"/>
      <c r="X1116" s="1315"/>
      <c r="Y1116" s="1315"/>
    </row>
    <row r="1117" spans="1:25" x14ac:dyDescent="0.2">
      <c r="A1117" s="1730"/>
      <c r="B1117" s="1730"/>
      <c r="C1117" s="1730"/>
      <c r="D1117" s="1730"/>
      <c r="E1117" s="1314"/>
      <c r="R1117" s="1315"/>
      <c r="S1117" s="1315"/>
      <c r="T1117" s="1315"/>
      <c r="U1117" s="1315"/>
      <c r="V1117" s="1315"/>
      <c r="W1117" s="1315"/>
      <c r="X1117" s="1315"/>
      <c r="Y1117" s="1315"/>
    </row>
    <row r="1118" spans="1:25" x14ac:dyDescent="0.2">
      <c r="A1118" s="1730"/>
      <c r="B1118" s="1730"/>
      <c r="C1118" s="1730"/>
      <c r="D1118" s="1730"/>
      <c r="E1118" s="1314"/>
      <c r="R1118" s="1315"/>
      <c r="S1118" s="1315"/>
      <c r="T1118" s="1315"/>
      <c r="U1118" s="1315"/>
      <c r="V1118" s="1315"/>
      <c r="W1118" s="1315"/>
      <c r="X1118" s="1315"/>
      <c r="Y1118" s="1315"/>
    </row>
    <row r="1119" spans="1:25" x14ac:dyDescent="0.2">
      <c r="A1119" s="1730"/>
      <c r="B1119" s="1730"/>
      <c r="C1119" s="1730"/>
      <c r="D1119" s="1730"/>
      <c r="E1119" s="1314"/>
      <c r="R1119" s="1315"/>
      <c r="S1119" s="1315"/>
      <c r="T1119" s="1315"/>
      <c r="U1119" s="1315"/>
      <c r="V1119" s="1315"/>
      <c r="W1119" s="1315"/>
      <c r="X1119" s="1315"/>
      <c r="Y1119" s="1315"/>
    </row>
    <row r="1120" spans="1:25" x14ac:dyDescent="0.2">
      <c r="A1120" s="1730"/>
      <c r="B1120" s="1730"/>
      <c r="C1120" s="1730"/>
      <c r="D1120" s="1730"/>
      <c r="E1120" s="1314"/>
      <c r="R1120" s="1315"/>
      <c r="S1120" s="1315"/>
      <c r="T1120" s="1315"/>
      <c r="U1120" s="1315"/>
      <c r="V1120" s="1315"/>
      <c r="W1120" s="1315"/>
      <c r="X1120" s="1315"/>
      <c r="Y1120" s="1315"/>
    </row>
    <row r="1121" spans="1:25" x14ac:dyDescent="0.2">
      <c r="A1121" s="1730"/>
      <c r="B1121" s="1730"/>
      <c r="C1121" s="1730"/>
      <c r="D1121" s="1730"/>
      <c r="E1121" s="1314"/>
      <c r="R1121" s="1315"/>
      <c r="S1121" s="1315"/>
      <c r="T1121" s="1315"/>
      <c r="U1121" s="1315"/>
      <c r="V1121" s="1315"/>
      <c r="W1121" s="1315"/>
      <c r="X1121" s="1315"/>
      <c r="Y1121" s="1315"/>
    </row>
    <row r="1122" spans="1:25" x14ac:dyDescent="0.2">
      <c r="A1122" s="1730"/>
      <c r="B1122" s="1730"/>
      <c r="C1122" s="1730"/>
      <c r="D1122" s="1730"/>
      <c r="E1122" s="1314"/>
      <c r="R1122" s="1315"/>
      <c r="S1122" s="1315"/>
      <c r="T1122" s="1315"/>
      <c r="U1122" s="1315"/>
      <c r="V1122" s="1315"/>
      <c r="W1122" s="1315"/>
      <c r="X1122" s="1315"/>
      <c r="Y1122" s="1315"/>
    </row>
    <row r="1123" spans="1:25" x14ac:dyDescent="0.2">
      <c r="A1123" s="1730"/>
      <c r="B1123" s="1730"/>
      <c r="C1123" s="1730"/>
      <c r="D1123" s="1730"/>
      <c r="E1123" s="1314"/>
      <c r="R1123" s="1315"/>
      <c r="S1123" s="1315"/>
      <c r="T1123" s="1315"/>
      <c r="U1123" s="1315"/>
      <c r="V1123" s="1315"/>
      <c r="W1123" s="1315"/>
      <c r="X1123" s="1315"/>
      <c r="Y1123" s="1315"/>
    </row>
    <row r="1124" spans="1:25" x14ac:dyDescent="0.2">
      <c r="A1124" s="1730"/>
      <c r="B1124" s="1730"/>
      <c r="C1124" s="1730"/>
      <c r="D1124" s="1730"/>
      <c r="E1124" s="1314"/>
      <c r="R1124" s="1315"/>
      <c r="S1124" s="1315"/>
      <c r="T1124" s="1315"/>
      <c r="U1124" s="1315"/>
      <c r="V1124" s="1315"/>
      <c r="W1124" s="1315"/>
      <c r="X1124" s="1315"/>
      <c r="Y1124" s="1315"/>
    </row>
    <row r="1125" spans="1:25" x14ac:dyDescent="0.2">
      <c r="A1125" s="1730"/>
      <c r="B1125" s="1730"/>
      <c r="C1125" s="1730"/>
      <c r="D1125" s="1730"/>
      <c r="E1125" s="1314"/>
      <c r="R1125" s="1315"/>
      <c r="S1125" s="1315"/>
      <c r="T1125" s="1315"/>
      <c r="U1125" s="1315"/>
      <c r="V1125" s="1315"/>
      <c r="W1125" s="1315"/>
      <c r="X1125" s="1315"/>
      <c r="Y1125" s="1315"/>
    </row>
    <row r="1126" spans="1:25" x14ac:dyDescent="0.2">
      <c r="A1126" s="1730"/>
      <c r="B1126" s="1730"/>
      <c r="C1126" s="1730"/>
      <c r="D1126" s="1730"/>
      <c r="E1126" s="1314"/>
      <c r="R1126" s="1315"/>
      <c r="S1126" s="1315"/>
      <c r="T1126" s="1315"/>
      <c r="U1126" s="1315"/>
      <c r="V1126" s="1315"/>
      <c r="W1126" s="1315"/>
      <c r="X1126" s="1315"/>
      <c r="Y1126" s="1315"/>
    </row>
    <row r="1127" spans="1:25" x14ac:dyDescent="0.2">
      <c r="A1127" s="1730"/>
      <c r="B1127" s="1730"/>
      <c r="C1127" s="1730"/>
      <c r="D1127" s="1730"/>
      <c r="E1127" s="1314"/>
      <c r="R1127" s="1315"/>
      <c r="S1127" s="1315"/>
      <c r="T1127" s="1315"/>
      <c r="U1127" s="1315"/>
      <c r="V1127" s="1315"/>
      <c r="W1127" s="1315"/>
      <c r="X1127" s="1315"/>
      <c r="Y1127" s="1315"/>
    </row>
    <row r="1128" spans="1:25" x14ac:dyDescent="0.2">
      <c r="A1128" s="1730"/>
      <c r="B1128" s="1730"/>
      <c r="C1128" s="1730"/>
      <c r="D1128" s="1730"/>
      <c r="E1128" s="1314"/>
      <c r="R1128" s="1315"/>
      <c r="S1128" s="1315"/>
      <c r="T1128" s="1315"/>
      <c r="U1128" s="1315"/>
      <c r="V1128" s="1315"/>
      <c r="W1128" s="1315"/>
      <c r="X1128" s="1315"/>
      <c r="Y1128" s="1315"/>
    </row>
    <row r="1129" spans="1:25" x14ac:dyDescent="0.2">
      <c r="A1129" s="1730"/>
      <c r="B1129" s="1730"/>
      <c r="C1129" s="1730"/>
      <c r="D1129" s="1730"/>
      <c r="E1129" s="1314"/>
      <c r="R1129" s="1315"/>
      <c r="S1129" s="1315"/>
      <c r="T1129" s="1315"/>
      <c r="U1129" s="1315"/>
      <c r="V1129" s="1315"/>
      <c r="W1129" s="1315"/>
      <c r="X1129" s="1315"/>
      <c r="Y1129" s="1315"/>
    </row>
    <row r="1130" spans="1:25" x14ac:dyDescent="0.2">
      <c r="A1130" s="1730"/>
      <c r="B1130" s="1730"/>
      <c r="C1130" s="1730"/>
      <c r="D1130" s="1730"/>
      <c r="E1130" s="1314"/>
      <c r="R1130" s="1315"/>
      <c r="S1130" s="1315"/>
      <c r="T1130" s="1315"/>
      <c r="U1130" s="1315"/>
      <c r="V1130" s="1315"/>
      <c r="W1130" s="1315"/>
      <c r="X1130" s="1315"/>
      <c r="Y1130" s="1315"/>
    </row>
    <row r="1131" spans="1:25" x14ac:dyDescent="0.2">
      <c r="A1131" s="1730"/>
      <c r="B1131" s="1730"/>
      <c r="C1131" s="1730"/>
      <c r="D1131" s="1730"/>
      <c r="E1131" s="1314"/>
      <c r="R1131" s="1315"/>
      <c r="S1131" s="1315"/>
      <c r="T1131" s="1315"/>
      <c r="U1131" s="1315"/>
      <c r="V1131" s="1315"/>
      <c r="W1131" s="1315"/>
      <c r="X1131" s="1315"/>
      <c r="Y1131" s="1315"/>
    </row>
    <row r="1132" spans="1:25" x14ac:dyDescent="0.2">
      <c r="A1132" s="1730"/>
      <c r="B1132" s="1730"/>
      <c r="C1132" s="1730"/>
      <c r="D1132" s="1730"/>
      <c r="E1132" s="1314"/>
      <c r="R1132" s="1315"/>
      <c r="S1132" s="1315"/>
      <c r="T1132" s="1315"/>
      <c r="U1132" s="1315"/>
      <c r="V1132" s="1315"/>
      <c r="W1132" s="1315"/>
      <c r="X1132" s="1315"/>
      <c r="Y1132" s="1315"/>
    </row>
    <row r="1133" spans="1:25" x14ac:dyDescent="0.2">
      <c r="A1133" s="1730"/>
      <c r="B1133" s="1730"/>
      <c r="C1133" s="1730"/>
      <c r="D1133" s="1730"/>
      <c r="E1133" s="1314"/>
      <c r="R1133" s="1315"/>
      <c r="S1133" s="1315"/>
      <c r="T1133" s="1315"/>
      <c r="U1133" s="1315"/>
      <c r="V1133" s="1315"/>
      <c r="W1133" s="1315"/>
      <c r="X1133" s="1315"/>
      <c r="Y1133" s="1315"/>
    </row>
    <row r="1134" spans="1:25" x14ac:dyDescent="0.2">
      <c r="A1134" s="1730"/>
      <c r="B1134" s="1730"/>
      <c r="C1134" s="1730"/>
      <c r="D1134" s="1730"/>
      <c r="E1134" s="1314"/>
      <c r="R1134" s="1315"/>
      <c r="S1134" s="1315"/>
      <c r="T1134" s="1315"/>
      <c r="U1134" s="1315"/>
      <c r="V1134" s="1315"/>
      <c r="W1134" s="1315"/>
      <c r="X1134" s="1315"/>
      <c r="Y1134" s="1315"/>
    </row>
    <row r="1135" spans="1:25" x14ac:dyDescent="0.2">
      <c r="A1135" s="1730"/>
      <c r="B1135" s="1730"/>
      <c r="C1135" s="1730"/>
      <c r="D1135" s="1730"/>
      <c r="E1135" s="1314"/>
      <c r="R1135" s="1315"/>
      <c r="S1135" s="1315"/>
      <c r="T1135" s="1315"/>
      <c r="U1135" s="1315"/>
      <c r="V1135" s="1315"/>
      <c r="W1135" s="1315"/>
      <c r="X1135" s="1315"/>
      <c r="Y1135" s="1315"/>
    </row>
    <row r="1136" spans="1:25" x14ac:dyDescent="0.2">
      <c r="A1136" s="1730"/>
      <c r="B1136" s="1730"/>
      <c r="C1136" s="1730"/>
      <c r="D1136" s="1730"/>
      <c r="E1136" s="1314"/>
      <c r="R1136" s="1315"/>
      <c r="S1136" s="1315"/>
      <c r="T1136" s="1315"/>
      <c r="U1136" s="1315"/>
      <c r="V1136" s="1315"/>
      <c r="W1136" s="1315"/>
      <c r="X1136" s="1315"/>
      <c r="Y1136" s="1315"/>
    </row>
    <row r="1137" spans="1:25" x14ac:dyDescent="0.2">
      <c r="A1137" s="1730"/>
      <c r="B1137" s="1730"/>
      <c r="C1137" s="1730"/>
      <c r="D1137" s="1730"/>
      <c r="E1137" s="1314"/>
      <c r="R1137" s="1315"/>
      <c r="S1137" s="1315"/>
      <c r="T1137" s="1315"/>
      <c r="U1137" s="1315"/>
      <c r="V1137" s="1315"/>
      <c r="W1137" s="1315"/>
      <c r="X1137" s="1315"/>
      <c r="Y1137" s="1315"/>
    </row>
    <row r="1138" spans="1:25" x14ac:dyDescent="0.2">
      <c r="A1138" s="1730"/>
      <c r="B1138" s="1730"/>
      <c r="C1138" s="1730"/>
      <c r="D1138" s="1730"/>
      <c r="E1138" s="1314"/>
      <c r="R1138" s="1315"/>
      <c r="S1138" s="1315"/>
      <c r="T1138" s="1315"/>
      <c r="U1138" s="1315"/>
      <c r="V1138" s="1315"/>
      <c r="W1138" s="1315"/>
      <c r="X1138" s="1315"/>
      <c r="Y1138" s="1315"/>
    </row>
    <row r="1139" spans="1:25" x14ac:dyDescent="0.2">
      <c r="A1139" s="1730"/>
      <c r="B1139" s="1730"/>
      <c r="C1139" s="1730"/>
      <c r="D1139" s="1730"/>
      <c r="E1139" s="1314"/>
      <c r="R1139" s="1315"/>
      <c r="S1139" s="1315"/>
      <c r="T1139" s="1315"/>
      <c r="U1139" s="1315"/>
      <c r="V1139" s="1315"/>
      <c r="W1139" s="1315"/>
      <c r="X1139" s="1315"/>
      <c r="Y1139" s="1315"/>
    </row>
    <row r="1140" spans="1:25" x14ac:dyDescent="0.2">
      <c r="A1140" s="1730"/>
      <c r="B1140" s="1730"/>
      <c r="C1140" s="1730"/>
      <c r="D1140" s="1730"/>
      <c r="E1140" s="1314"/>
      <c r="R1140" s="1315"/>
      <c r="S1140" s="1315"/>
      <c r="T1140" s="1315"/>
      <c r="U1140" s="1315"/>
      <c r="V1140" s="1315"/>
      <c r="W1140" s="1315"/>
      <c r="X1140" s="1315"/>
      <c r="Y1140" s="1315"/>
    </row>
    <row r="1141" spans="1:25" x14ac:dyDescent="0.2">
      <c r="A1141" s="1730"/>
      <c r="B1141" s="1730"/>
      <c r="C1141" s="1730"/>
      <c r="D1141" s="1730"/>
      <c r="E1141" s="1314"/>
      <c r="R1141" s="1315"/>
      <c r="S1141" s="1315"/>
      <c r="T1141" s="1315"/>
      <c r="U1141" s="1315"/>
      <c r="V1141" s="1315"/>
      <c r="W1141" s="1315"/>
      <c r="X1141" s="1315"/>
      <c r="Y1141" s="1315"/>
    </row>
    <row r="1142" spans="1:25" x14ac:dyDescent="0.2">
      <c r="A1142" s="1730"/>
      <c r="B1142" s="1730"/>
      <c r="C1142" s="1730"/>
      <c r="D1142" s="1730"/>
      <c r="E1142" s="1314"/>
      <c r="R1142" s="1315"/>
      <c r="S1142" s="1315"/>
      <c r="T1142" s="1315"/>
      <c r="U1142" s="1315"/>
      <c r="V1142" s="1315"/>
      <c r="W1142" s="1315"/>
      <c r="X1142" s="1315"/>
      <c r="Y1142" s="1315"/>
    </row>
    <row r="1143" spans="1:25" x14ac:dyDescent="0.2">
      <c r="A1143" s="1730"/>
      <c r="B1143" s="1730"/>
      <c r="C1143" s="1730"/>
      <c r="D1143" s="1730"/>
      <c r="E1143" s="1314"/>
      <c r="R1143" s="1315"/>
      <c r="S1143" s="1315"/>
      <c r="T1143" s="1315"/>
      <c r="U1143" s="1315"/>
      <c r="V1143" s="1315"/>
      <c r="W1143" s="1315"/>
      <c r="X1143" s="1315"/>
      <c r="Y1143" s="1315"/>
    </row>
    <row r="1144" spans="1:25" x14ac:dyDescent="0.2">
      <c r="A1144" s="1730"/>
      <c r="B1144" s="1730"/>
      <c r="C1144" s="1730"/>
      <c r="D1144" s="1730"/>
      <c r="E1144" s="1314"/>
      <c r="R1144" s="1315"/>
      <c r="S1144" s="1315"/>
      <c r="T1144" s="1315"/>
      <c r="U1144" s="1315"/>
      <c r="V1144" s="1315"/>
      <c r="W1144" s="1315"/>
      <c r="X1144" s="1315"/>
      <c r="Y1144" s="1315"/>
    </row>
    <row r="1145" spans="1:25" x14ac:dyDescent="0.2">
      <c r="A1145" s="1730"/>
      <c r="B1145" s="1730"/>
      <c r="C1145" s="1730"/>
      <c r="D1145" s="1730"/>
      <c r="E1145" s="1314"/>
      <c r="R1145" s="1315"/>
      <c r="S1145" s="1315"/>
      <c r="T1145" s="1315"/>
      <c r="U1145" s="1315"/>
      <c r="V1145" s="1315"/>
      <c r="W1145" s="1315"/>
      <c r="X1145" s="1315"/>
      <c r="Y1145" s="1315"/>
    </row>
    <row r="1146" spans="1:25" x14ac:dyDescent="0.2">
      <c r="A1146" s="1730"/>
      <c r="B1146" s="1730"/>
      <c r="C1146" s="1730"/>
      <c r="D1146" s="1730"/>
      <c r="E1146" s="1314"/>
      <c r="R1146" s="1315"/>
      <c r="S1146" s="1315"/>
      <c r="T1146" s="1315"/>
      <c r="U1146" s="1315"/>
      <c r="V1146" s="1315"/>
      <c r="W1146" s="1315"/>
      <c r="X1146" s="1315"/>
      <c r="Y1146" s="1315"/>
    </row>
    <row r="1147" spans="1:25" x14ac:dyDescent="0.2">
      <c r="A1147" s="1730"/>
      <c r="B1147" s="1730"/>
      <c r="C1147" s="1730"/>
      <c r="D1147" s="1730"/>
      <c r="E1147" s="1314"/>
      <c r="R1147" s="1315"/>
      <c r="S1147" s="1315"/>
      <c r="T1147" s="1315"/>
      <c r="U1147" s="1315"/>
      <c r="V1147" s="1315"/>
      <c r="W1147" s="1315"/>
      <c r="X1147" s="1315"/>
      <c r="Y1147" s="1315"/>
    </row>
    <row r="1148" spans="1:25" x14ac:dyDescent="0.2">
      <c r="A1148" s="1730"/>
      <c r="B1148" s="1730"/>
      <c r="C1148" s="1730"/>
      <c r="D1148" s="1730"/>
      <c r="E1148" s="1314"/>
      <c r="R1148" s="1315"/>
      <c r="S1148" s="1315"/>
      <c r="T1148" s="1315"/>
      <c r="U1148" s="1315"/>
      <c r="V1148" s="1315"/>
      <c r="W1148" s="1315"/>
      <c r="X1148" s="1315"/>
      <c r="Y1148" s="1315"/>
    </row>
    <row r="1149" spans="1:25" x14ac:dyDescent="0.2">
      <c r="A1149" s="1730"/>
      <c r="B1149" s="1730"/>
      <c r="C1149" s="1730"/>
      <c r="D1149" s="1730"/>
      <c r="E1149" s="1314"/>
      <c r="R1149" s="1315"/>
      <c r="S1149" s="1315"/>
      <c r="T1149" s="1315"/>
      <c r="U1149" s="1315"/>
      <c r="V1149" s="1315"/>
      <c r="W1149" s="1315"/>
      <c r="X1149" s="1315"/>
      <c r="Y1149" s="1315"/>
    </row>
    <row r="1150" spans="1:25" x14ac:dyDescent="0.2">
      <c r="A1150" s="1730"/>
      <c r="B1150" s="1730"/>
      <c r="C1150" s="1730"/>
      <c r="D1150" s="1730"/>
      <c r="E1150" s="1314"/>
      <c r="R1150" s="1315"/>
      <c r="S1150" s="1315"/>
      <c r="T1150" s="1315"/>
      <c r="U1150" s="1315"/>
      <c r="V1150" s="1315"/>
      <c r="W1150" s="1315"/>
      <c r="X1150" s="1315"/>
      <c r="Y1150" s="1315"/>
    </row>
    <row r="1151" spans="1:25" x14ac:dyDescent="0.2">
      <c r="A1151" s="1730"/>
      <c r="B1151" s="1730"/>
      <c r="C1151" s="1730"/>
      <c r="D1151" s="1730"/>
      <c r="E1151" s="1314"/>
      <c r="R1151" s="1315"/>
      <c r="S1151" s="1315"/>
      <c r="T1151" s="1315"/>
      <c r="U1151" s="1315"/>
      <c r="V1151" s="1315"/>
      <c r="W1151" s="1315"/>
      <c r="X1151" s="1315"/>
      <c r="Y1151" s="1315"/>
    </row>
    <row r="1152" spans="1:25" x14ac:dyDescent="0.2">
      <c r="A1152" s="1730"/>
      <c r="B1152" s="1730"/>
      <c r="C1152" s="1730"/>
      <c r="D1152" s="1730"/>
      <c r="E1152" s="1314"/>
      <c r="R1152" s="1315"/>
      <c r="S1152" s="1315"/>
      <c r="T1152" s="1315"/>
      <c r="U1152" s="1315"/>
      <c r="V1152" s="1315"/>
      <c r="W1152" s="1315"/>
      <c r="X1152" s="1315"/>
      <c r="Y1152" s="1315"/>
    </row>
    <row r="1153" spans="1:25" x14ac:dyDescent="0.2">
      <c r="A1153" s="1730"/>
      <c r="B1153" s="1730"/>
      <c r="C1153" s="1730"/>
      <c r="D1153" s="1730"/>
      <c r="E1153" s="1314"/>
      <c r="R1153" s="1315"/>
      <c r="S1153" s="1315"/>
      <c r="T1153" s="1315"/>
      <c r="U1153" s="1315"/>
      <c r="V1153" s="1315"/>
      <c r="W1153" s="1315"/>
      <c r="X1153" s="1315"/>
      <c r="Y1153" s="1315"/>
    </row>
    <row r="1154" spans="1:25" x14ac:dyDescent="0.2">
      <c r="A1154" s="1730"/>
      <c r="B1154" s="1730"/>
      <c r="C1154" s="1730"/>
      <c r="D1154" s="1730"/>
      <c r="E1154" s="1314"/>
      <c r="R1154" s="1315"/>
      <c r="S1154" s="1315"/>
      <c r="T1154" s="1315"/>
      <c r="U1154" s="1315"/>
      <c r="V1154" s="1315"/>
      <c r="W1154" s="1315"/>
      <c r="X1154" s="1315"/>
      <c r="Y1154" s="1315"/>
    </row>
    <row r="1155" spans="1:25" x14ac:dyDescent="0.2">
      <c r="A1155" s="1730"/>
      <c r="B1155" s="1730"/>
      <c r="C1155" s="1730"/>
      <c r="D1155" s="1730"/>
      <c r="E1155" s="1314"/>
      <c r="R1155" s="1315"/>
      <c r="S1155" s="1315"/>
      <c r="T1155" s="1315"/>
      <c r="U1155" s="1315"/>
      <c r="V1155" s="1315"/>
      <c r="W1155" s="1315"/>
      <c r="X1155" s="1315"/>
      <c r="Y1155" s="1315"/>
    </row>
    <row r="1156" spans="1:25" x14ac:dyDescent="0.2">
      <c r="A1156" s="1730"/>
      <c r="B1156" s="1730"/>
      <c r="C1156" s="1730"/>
      <c r="D1156" s="1730"/>
      <c r="E1156" s="1314"/>
      <c r="R1156" s="1315"/>
      <c r="S1156" s="1315"/>
      <c r="T1156" s="1315"/>
      <c r="U1156" s="1315"/>
      <c r="V1156" s="1315"/>
      <c r="W1156" s="1315"/>
      <c r="X1156" s="1315"/>
      <c r="Y1156" s="1315"/>
    </row>
    <row r="1157" spans="1:25" x14ac:dyDescent="0.2">
      <c r="A1157" s="1730"/>
      <c r="B1157" s="1730"/>
      <c r="C1157" s="1730"/>
      <c r="D1157" s="1730"/>
      <c r="E1157" s="1314"/>
      <c r="R1157" s="1315"/>
      <c r="S1157" s="1315"/>
      <c r="T1157" s="1315"/>
      <c r="U1157" s="1315"/>
      <c r="V1157" s="1315"/>
      <c r="W1157" s="1315"/>
      <c r="X1157" s="1315"/>
      <c r="Y1157" s="1315"/>
    </row>
    <row r="1158" spans="1:25" x14ac:dyDescent="0.2">
      <c r="A1158" s="1730"/>
      <c r="B1158" s="1730"/>
      <c r="C1158" s="1730"/>
      <c r="D1158" s="1730"/>
      <c r="E1158" s="1314"/>
      <c r="R1158" s="1315"/>
      <c r="S1158" s="1315"/>
      <c r="T1158" s="1315"/>
      <c r="U1158" s="1315"/>
      <c r="V1158" s="1315"/>
      <c r="W1158" s="1315"/>
      <c r="X1158" s="1315"/>
      <c r="Y1158" s="1315"/>
    </row>
    <row r="1159" spans="1:25" x14ac:dyDescent="0.2">
      <c r="A1159" s="1730"/>
      <c r="B1159" s="1730"/>
      <c r="C1159" s="1730"/>
      <c r="D1159" s="1730"/>
      <c r="E1159" s="1314"/>
      <c r="R1159" s="1315"/>
      <c r="S1159" s="1315"/>
      <c r="T1159" s="1315"/>
      <c r="U1159" s="1315"/>
      <c r="V1159" s="1315"/>
      <c r="W1159" s="1315"/>
      <c r="X1159" s="1315"/>
      <c r="Y1159" s="1315"/>
    </row>
    <row r="1160" spans="1:25" x14ac:dyDescent="0.2">
      <c r="A1160" s="1730"/>
      <c r="B1160" s="1730"/>
      <c r="C1160" s="1730"/>
      <c r="D1160" s="1730"/>
      <c r="E1160" s="1314"/>
      <c r="R1160" s="1315"/>
      <c r="S1160" s="1315"/>
      <c r="T1160" s="1315"/>
      <c r="U1160" s="1315"/>
      <c r="V1160" s="1315"/>
      <c r="W1160" s="1315"/>
      <c r="X1160" s="1315"/>
      <c r="Y1160" s="1315"/>
    </row>
    <row r="1161" spans="1:25" x14ac:dyDescent="0.2">
      <c r="A1161" s="1730"/>
      <c r="B1161" s="1730"/>
      <c r="C1161" s="1730"/>
      <c r="D1161" s="1730"/>
      <c r="E1161" s="1314"/>
      <c r="R1161" s="1315"/>
      <c r="S1161" s="1315"/>
      <c r="T1161" s="1315"/>
      <c r="U1161" s="1315"/>
      <c r="V1161" s="1315"/>
      <c r="W1161" s="1315"/>
      <c r="X1161" s="1315"/>
      <c r="Y1161" s="1315"/>
    </row>
    <row r="1162" spans="1:25" x14ac:dyDescent="0.2">
      <c r="A1162" s="1730"/>
      <c r="B1162" s="1730"/>
      <c r="C1162" s="1730"/>
      <c r="D1162" s="1730"/>
      <c r="E1162" s="1314"/>
      <c r="R1162" s="1315"/>
      <c r="S1162" s="1315"/>
      <c r="T1162" s="1315"/>
      <c r="U1162" s="1315"/>
      <c r="V1162" s="1315"/>
      <c r="W1162" s="1315"/>
      <c r="X1162" s="1315"/>
      <c r="Y1162" s="1315"/>
    </row>
    <row r="1163" spans="1:25" x14ac:dyDescent="0.2">
      <c r="A1163" s="1730"/>
      <c r="B1163" s="1730"/>
      <c r="C1163" s="1730"/>
      <c r="D1163" s="1730"/>
      <c r="E1163" s="1314"/>
      <c r="R1163" s="1315"/>
      <c r="S1163" s="1315"/>
      <c r="T1163" s="1315"/>
      <c r="U1163" s="1315"/>
      <c r="V1163" s="1315"/>
      <c r="W1163" s="1315"/>
      <c r="X1163" s="1315"/>
      <c r="Y1163" s="1315"/>
    </row>
    <row r="1164" spans="1:25" x14ac:dyDescent="0.2">
      <c r="A1164" s="1730"/>
      <c r="B1164" s="1730"/>
      <c r="C1164" s="1730"/>
      <c r="D1164" s="1730"/>
      <c r="E1164" s="1314"/>
      <c r="R1164" s="1315"/>
      <c r="S1164" s="1315"/>
      <c r="T1164" s="1315"/>
      <c r="U1164" s="1315"/>
      <c r="V1164" s="1315"/>
      <c r="W1164" s="1315"/>
      <c r="X1164" s="1315"/>
      <c r="Y1164" s="1315"/>
    </row>
    <row r="1165" spans="1:25" x14ac:dyDescent="0.2">
      <c r="A1165" s="1730"/>
      <c r="B1165" s="1730"/>
      <c r="C1165" s="1730"/>
      <c r="D1165" s="1730"/>
      <c r="E1165" s="1314"/>
      <c r="R1165" s="1315"/>
      <c r="S1165" s="1315"/>
      <c r="T1165" s="1315"/>
      <c r="U1165" s="1315"/>
      <c r="V1165" s="1315"/>
      <c r="W1165" s="1315"/>
      <c r="X1165" s="1315"/>
      <c r="Y1165" s="1315"/>
    </row>
    <row r="1166" spans="1:25" x14ac:dyDescent="0.2">
      <c r="A1166" s="1730"/>
      <c r="B1166" s="1730"/>
      <c r="C1166" s="1730"/>
      <c r="D1166" s="1730"/>
      <c r="E1166" s="1314"/>
      <c r="R1166" s="1315"/>
      <c r="S1166" s="1315"/>
      <c r="T1166" s="1315"/>
      <c r="U1166" s="1315"/>
      <c r="V1166" s="1315"/>
      <c r="W1166" s="1315"/>
      <c r="X1166" s="1315"/>
      <c r="Y1166" s="1315"/>
    </row>
    <row r="1167" spans="1:25" x14ac:dyDescent="0.2">
      <c r="A1167" s="1730"/>
      <c r="B1167" s="1730"/>
      <c r="C1167" s="1730"/>
      <c r="D1167" s="1730"/>
      <c r="E1167" s="1314"/>
      <c r="R1167" s="1315"/>
      <c r="S1167" s="1315"/>
      <c r="T1167" s="1315"/>
      <c r="U1167" s="1315"/>
      <c r="V1167" s="1315"/>
      <c r="W1167" s="1315"/>
      <c r="X1167" s="1315"/>
      <c r="Y1167" s="1315"/>
    </row>
    <row r="1168" spans="1:25" x14ac:dyDescent="0.2">
      <c r="A1168" s="1730"/>
      <c r="B1168" s="1730"/>
      <c r="C1168" s="1730"/>
      <c r="D1168" s="1730"/>
      <c r="E1168" s="1314"/>
      <c r="R1168" s="1315"/>
      <c r="S1168" s="1315"/>
      <c r="T1168" s="1315"/>
      <c r="U1168" s="1315"/>
      <c r="V1168" s="1315"/>
      <c r="W1168" s="1315"/>
      <c r="X1168" s="1315"/>
      <c r="Y1168" s="1315"/>
    </row>
    <row r="1169" spans="1:25" x14ac:dyDescent="0.2">
      <c r="A1169" s="1730"/>
      <c r="B1169" s="1730"/>
      <c r="C1169" s="1730"/>
      <c r="D1169" s="1730"/>
      <c r="E1169" s="1314"/>
      <c r="R1169" s="1315"/>
      <c r="S1169" s="1315"/>
      <c r="T1169" s="1315"/>
      <c r="U1169" s="1315"/>
      <c r="V1169" s="1315"/>
      <c r="W1169" s="1315"/>
      <c r="X1169" s="1315"/>
      <c r="Y1169" s="1315"/>
    </row>
    <row r="1170" spans="1:25" x14ac:dyDescent="0.2">
      <c r="A1170" s="1730"/>
      <c r="B1170" s="1730"/>
      <c r="C1170" s="1730"/>
      <c r="D1170" s="1730"/>
      <c r="E1170" s="1314"/>
      <c r="R1170" s="1315"/>
      <c r="S1170" s="1315"/>
      <c r="T1170" s="1315"/>
      <c r="U1170" s="1315"/>
      <c r="V1170" s="1315"/>
      <c r="W1170" s="1315"/>
      <c r="X1170" s="1315"/>
      <c r="Y1170" s="1315"/>
    </row>
    <row r="1171" spans="1:25" x14ac:dyDescent="0.2">
      <c r="A1171" s="1730"/>
      <c r="B1171" s="1730"/>
      <c r="C1171" s="1730"/>
      <c r="D1171" s="1730"/>
      <c r="E1171" s="1314"/>
      <c r="R1171" s="1315"/>
      <c r="S1171" s="1315"/>
      <c r="T1171" s="1315"/>
      <c r="U1171" s="1315"/>
      <c r="V1171" s="1315"/>
      <c r="W1171" s="1315"/>
      <c r="X1171" s="1315"/>
      <c r="Y1171" s="1315"/>
    </row>
    <row r="1172" spans="1:25" x14ac:dyDescent="0.2">
      <c r="A1172" s="1730"/>
      <c r="B1172" s="1730"/>
      <c r="C1172" s="1730"/>
      <c r="D1172" s="1730"/>
      <c r="E1172" s="1314"/>
      <c r="R1172" s="1315"/>
      <c r="S1172" s="1315"/>
      <c r="T1172" s="1315"/>
      <c r="U1172" s="1315"/>
      <c r="V1172" s="1315"/>
      <c r="W1172" s="1315"/>
      <c r="X1172" s="1315"/>
      <c r="Y1172" s="1315"/>
    </row>
    <row r="1173" spans="1:25" x14ac:dyDescent="0.2">
      <c r="A1173" s="1730"/>
      <c r="B1173" s="1730"/>
      <c r="C1173" s="1730"/>
      <c r="D1173" s="1730"/>
      <c r="E1173" s="1314"/>
      <c r="R1173" s="1315"/>
      <c r="S1173" s="1315"/>
      <c r="T1173" s="1315"/>
      <c r="U1173" s="1315"/>
      <c r="V1173" s="1315"/>
      <c r="W1173" s="1315"/>
      <c r="X1173" s="1315"/>
      <c r="Y1173" s="1315"/>
    </row>
    <row r="1174" spans="1:25" x14ac:dyDescent="0.2">
      <c r="A1174" s="1730"/>
      <c r="B1174" s="1730"/>
      <c r="C1174" s="1730"/>
      <c r="D1174" s="1730"/>
      <c r="E1174" s="1314"/>
      <c r="R1174" s="1315"/>
      <c r="S1174" s="1315"/>
      <c r="T1174" s="1315"/>
      <c r="U1174" s="1315"/>
      <c r="V1174" s="1315"/>
      <c r="W1174" s="1315"/>
      <c r="X1174" s="1315"/>
      <c r="Y1174" s="1315"/>
    </row>
    <row r="1175" spans="1:25" x14ac:dyDescent="0.2">
      <c r="A1175" s="1730"/>
      <c r="B1175" s="1730"/>
      <c r="C1175" s="1730"/>
      <c r="D1175" s="1730"/>
      <c r="E1175" s="1314"/>
      <c r="R1175" s="1315"/>
      <c r="S1175" s="1315"/>
      <c r="T1175" s="1315"/>
      <c r="U1175" s="1315"/>
      <c r="V1175" s="1315"/>
      <c r="W1175" s="1315"/>
      <c r="X1175" s="1315"/>
      <c r="Y1175" s="1315"/>
    </row>
    <row r="1176" spans="1:25" x14ac:dyDescent="0.2">
      <c r="A1176" s="1730"/>
      <c r="B1176" s="1730"/>
      <c r="C1176" s="1730"/>
      <c r="D1176" s="1730"/>
      <c r="E1176" s="1314"/>
      <c r="R1176" s="1315"/>
      <c r="S1176" s="1315"/>
      <c r="T1176" s="1315"/>
      <c r="U1176" s="1315"/>
      <c r="V1176" s="1315"/>
      <c r="W1176" s="1315"/>
      <c r="X1176" s="1315"/>
      <c r="Y1176" s="1315"/>
    </row>
    <row r="1177" spans="1:25" x14ac:dyDescent="0.2">
      <c r="A1177" s="1730"/>
      <c r="B1177" s="1730"/>
      <c r="C1177" s="1730"/>
      <c r="D1177" s="1730"/>
      <c r="E1177" s="1314"/>
      <c r="R1177" s="1315"/>
      <c r="S1177" s="1315"/>
      <c r="T1177" s="1315"/>
      <c r="U1177" s="1315"/>
      <c r="V1177" s="1315"/>
      <c r="W1177" s="1315"/>
      <c r="X1177" s="1315"/>
      <c r="Y1177" s="1315"/>
    </row>
    <row r="1178" spans="1:25" x14ac:dyDescent="0.2">
      <c r="A1178" s="1730"/>
      <c r="B1178" s="1730"/>
      <c r="C1178" s="1730"/>
      <c r="D1178" s="1730"/>
      <c r="E1178" s="1314"/>
      <c r="R1178" s="1315"/>
      <c r="S1178" s="1315"/>
      <c r="T1178" s="1315"/>
      <c r="U1178" s="1315"/>
      <c r="V1178" s="1315"/>
      <c r="W1178" s="1315"/>
      <c r="X1178" s="1315"/>
      <c r="Y1178" s="1315"/>
    </row>
    <row r="1179" spans="1:25" x14ac:dyDescent="0.2">
      <c r="A1179" s="1730"/>
      <c r="B1179" s="1730"/>
      <c r="C1179" s="1730"/>
      <c r="D1179" s="1730"/>
      <c r="E1179" s="1314"/>
      <c r="R1179" s="1315"/>
      <c r="S1179" s="1315"/>
      <c r="T1179" s="1315"/>
      <c r="U1179" s="1315"/>
      <c r="V1179" s="1315"/>
      <c r="W1179" s="1315"/>
      <c r="X1179" s="1315"/>
      <c r="Y1179" s="1315"/>
    </row>
    <row r="1180" spans="1:25" x14ac:dyDescent="0.2">
      <c r="A1180" s="1730"/>
      <c r="B1180" s="1730"/>
      <c r="C1180" s="1730"/>
      <c r="D1180" s="1730"/>
      <c r="E1180" s="1314"/>
      <c r="R1180" s="1315"/>
      <c r="S1180" s="1315"/>
      <c r="T1180" s="1315"/>
      <c r="U1180" s="1315"/>
      <c r="V1180" s="1315"/>
      <c r="W1180" s="1315"/>
      <c r="X1180" s="1315"/>
      <c r="Y1180" s="1315"/>
    </row>
    <row r="1181" spans="1:25" x14ac:dyDescent="0.2">
      <c r="A1181" s="1730"/>
      <c r="B1181" s="1730"/>
      <c r="C1181" s="1730"/>
      <c r="D1181" s="1730"/>
      <c r="E1181" s="1314"/>
      <c r="R1181" s="1315"/>
      <c r="S1181" s="1315"/>
      <c r="T1181" s="1315"/>
      <c r="U1181" s="1315"/>
      <c r="V1181" s="1315"/>
      <c r="W1181" s="1315"/>
      <c r="X1181" s="1315"/>
      <c r="Y1181" s="1315"/>
    </row>
    <row r="1182" spans="1:25" x14ac:dyDescent="0.2">
      <c r="A1182" s="1730"/>
      <c r="B1182" s="1730"/>
      <c r="C1182" s="1730"/>
      <c r="D1182" s="1730"/>
      <c r="E1182" s="1314"/>
      <c r="R1182" s="1315"/>
      <c r="S1182" s="1315"/>
      <c r="T1182" s="1315"/>
      <c r="U1182" s="1315"/>
      <c r="V1182" s="1315"/>
      <c r="W1182" s="1315"/>
      <c r="X1182" s="1315"/>
      <c r="Y1182" s="1315"/>
    </row>
    <row r="1183" spans="1:25" x14ac:dyDescent="0.2">
      <c r="A1183" s="1730"/>
      <c r="B1183" s="1730"/>
      <c r="C1183" s="1730"/>
      <c r="D1183" s="1730"/>
      <c r="E1183" s="1314"/>
      <c r="R1183" s="1315"/>
      <c r="S1183" s="1315"/>
      <c r="T1183" s="1315"/>
      <c r="U1183" s="1315"/>
      <c r="V1183" s="1315"/>
      <c r="W1183" s="1315"/>
      <c r="X1183" s="1315"/>
      <c r="Y1183" s="1315"/>
    </row>
    <row r="1184" spans="1:25" x14ac:dyDescent="0.2">
      <c r="A1184" s="1730"/>
      <c r="B1184" s="1730"/>
      <c r="C1184" s="1730"/>
      <c r="D1184" s="1730"/>
      <c r="E1184" s="1314"/>
      <c r="R1184" s="1315"/>
      <c r="S1184" s="1315"/>
      <c r="T1184" s="1315"/>
      <c r="U1184" s="1315"/>
      <c r="V1184" s="1315"/>
      <c r="W1184" s="1315"/>
      <c r="X1184" s="1315"/>
      <c r="Y1184" s="1315"/>
    </row>
    <row r="1185" spans="1:25" x14ac:dyDescent="0.2">
      <c r="A1185" s="1730"/>
      <c r="B1185" s="1730"/>
      <c r="C1185" s="1730"/>
      <c r="D1185" s="1730"/>
      <c r="E1185" s="1314"/>
      <c r="R1185" s="1315"/>
      <c r="S1185" s="1315"/>
      <c r="T1185" s="1315"/>
      <c r="U1185" s="1315"/>
      <c r="V1185" s="1315"/>
      <c r="W1185" s="1315"/>
      <c r="X1185" s="1315"/>
      <c r="Y1185" s="1315"/>
    </row>
    <row r="1186" spans="1:25" x14ac:dyDescent="0.2">
      <c r="A1186" s="1730"/>
      <c r="B1186" s="1730"/>
      <c r="C1186" s="1730"/>
      <c r="D1186" s="1730"/>
      <c r="E1186" s="1314"/>
      <c r="R1186" s="1315"/>
      <c r="S1186" s="1315"/>
      <c r="T1186" s="1315"/>
      <c r="U1186" s="1315"/>
      <c r="V1186" s="1315"/>
      <c r="W1186" s="1315"/>
      <c r="X1186" s="1315"/>
      <c r="Y1186" s="1315"/>
    </row>
    <row r="1187" spans="1:25" x14ac:dyDescent="0.2">
      <c r="A1187" s="1730"/>
      <c r="B1187" s="1730"/>
      <c r="C1187" s="1730"/>
      <c r="D1187" s="1730"/>
      <c r="E1187" s="1314"/>
      <c r="R1187" s="1315"/>
      <c r="S1187" s="1315"/>
      <c r="T1187" s="1315"/>
      <c r="U1187" s="1315"/>
      <c r="V1187" s="1315"/>
      <c r="W1187" s="1315"/>
      <c r="X1187" s="1315"/>
      <c r="Y1187" s="1315"/>
    </row>
    <row r="1188" spans="1:25" x14ac:dyDescent="0.2">
      <c r="A1188" s="1730"/>
      <c r="B1188" s="1730"/>
      <c r="C1188" s="1730"/>
      <c r="D1188" s="1730"/>
      <c r="E1188" s="1314"/>
      <c r="R1188" s="1315"/>
      <c r="S1188" s="1315"/>
      <c r="T1188" s="1315"/>
      <c r="U1188" s="1315"/>
      <c r="V1188" s="1315"/>
      <c r="W1188" s="1315"/>
      <c r="X1188" s="1315"/>
      <c r="Y1188" s="1315"/>
    </row>
    <row r="1189" spans="1:25" x14ac:dyDescent="0.2">
      <c r="A1189" s="1730"/>
      <c r="B1189" s="1730"/>
      <c r="C1189" s="1730"/>
      <c r="D1189" s="1730"/>
      <c r="E1189" s="1314"/>
      <c r="R1189" s="1315"/>
      <c r="S1189" s="1315"/>
      <c r="T1189" s="1315"/>
      <c r="U1189" s="1315"/>
      <c r="V1189" s="1315"/>
      <c r="W1189" s="1315"/>
      <c r="X1189" s="1315"/>
      <c r="Y1189" s="1315"/>
    </row>
    <row r="1190" spans="1:25" x14ac:dyDescent="0.2">
      <c r="A1190" s="1730"/>
      <c r="B1190" s="1730"/>
      <c r="C1190" s="1730"/>
      <c r="D1190" s="1730"/>
      <c r="E1190" s="1314"/>
      <c r="R1190" s="1315"/>
      <c r="S1190" s="1315"/>
      <c r="T1190" s="1315"/>
      <c r="U1190" s="1315"/>
      <c r="V1190" s="1315"/>
      <c r="W1190" s="1315"/>
      <c r="X1190" s="1315"/>
      <c r="Y1190" s="1315"/>
    </row>
    <row r="1191" spans="1:25" x14ac:dyDescent="0.2">
      <c r="A1191" s="1730"/>
      <c r="B1191" s="1730"/>
      <c r="C1191" s="1730"/>
      <c r="D1191" s="1730"/>
      <c r="E1191" s="1314"/>
      <c r="R1191" s="1315"/>
      <c r="S1191" s="1315"/>
      <c r="T1191" s="1315"/>
      <c r="U1191" s="1315"/>
      <c r="V1191" s="1315"/>
      <c r="W1191" s="1315"/>
      <c r="X1191" s="1315"/>
      <c r="Y1191" s="1315"/>
    </row>
    <row r="1192" spans="1:25" x14ac:dyDescent="0.2">
      <c r="A1192" s="1730"/>
      <c r="B1192" s="1730"/>
      <c r="C1192" s="1730"/>
      <c r="D1192" s="1730"/>
      <c r="E1192" s="1314"/>
      <c r="R1192" s="1315"/>
      <c r="S1192" s="1315"/>
      <c r="T1192" s="1315"/>
      <c r="U1192" s="1315"/>
      <c r="V1192" s="1315"/>
      <c r="W1192" s="1315"/>
      <c r="X1192" s="1315"/>
      <c r="Y1192" s="1315"/>
    </row>
    <row r="1193" spans="1:25" x14ac:dyDescent="0.2">
      <c r="A1193" s="1730"/>
      <c r="B1193" s="1730"/>
      <c r="C1193" s="1730"/>
      <c r="D1193" s="1730"/>
      <c r="E1193" s="1314"/>
      <c r="R1193" s="1315"/>
      <c r="S1193" s="1315"/>
      <c r="T1193" s="1315"/>
      <c r="U1193" s="1315"/>
      <c r="V1193" s="1315"/>
      <c r="W1193" s="1315"/>
      <c r="X1193" s="1315"/>
      <c r="Y1193" s="1315"/>
    </row>
    <row r="1194" spans="1:25" x14ac:dyDescent="0.2">
      <c r="A1194" s="1730"/>
      <c r="B1194" s="1730"/>
      <c r="C1194" s="1730"/>
      <c r="D1194" s="1730"/>
      <c r="E1194" s="1314"/>
      <c r="R1194" s="1315"/>
      <c r="S1194" s="1315"/>
      <c r="T1194" s="1315"/>
      <c r="U1194" s="1315"/>
      <c r="V1194" s="1315"/>
      <c r="W1194" s="1315"/>
      <c r="X1194" s="1315"/>
      <c r="Y1194" s="1315"/>
    </row>
    <row r="1195" spans="1:25" x14ac:dyDescent="0.2">
      <c r="A1195" s="1730"/>
      <c r="B1195" s="1730"/>
      <c r="C1195" s="1730"/>
      <c r="D1195" s="1730"/>
      <c r="E1195" s="1314"/>
      <c r="R1195" s="1315"/>
      <c r="S1195" s="1315"/>
      <c r="T1195" s="1315"/>
      <c r="U1195" s="1315"/>
      <c r="V1195" s="1315"/>
      <c r="W1195" s="1315"/>
      <c r="X1195" s="1315"/>
      <c r="Y1195" s="1315"/>
    </row>
    <row r="1196" spans="1:25" x14ac:dyDescent="0.2">
      <c r="A1196" s="1730"/>
      <c r="B1196" s="1730"/>
      <c r="C1196" s="1730"/>
      <c r="D1196" s="1730"/>
      <c r="E1196" s="1314"/>
      <c r="R1196" s="1315"/>
      <c r="S1196" s="1315"/>
      <c r="T1196" s="1315"/>
      <c r="U1196" s="1315"/>
      <c r="V1196" s="1315"/>
      <c r="W1196" s="1315"/>
      <c r="X1196" s="1315"/>
      <c r="Y1196" s="1315"/>
    </row>
    <row r="1197" spans="1:25" x14ac:dyDescent="0.2">
      <c r="A1197" s="1730"/>
      <c r="B1197" s="1730"/>
      <c r="C1197" s="1730"/>
      <c r="D1197" s="1730"/>
      <c r="E1197" s="1314"/>
      <c r="R1197" s="1315"/>
      <c r="S1197" s="1315"/>
      <c r="T1197" s="1315"/>
      <c r="U1197" s="1315"/>
      <c r="V1197" s="1315"/>
      <c r="W1197" s="1315"/>
      <c r="X1197" s="1315"/>
      <c r="Y1197" s="1315"/>
    </row>
    <row r="1198" spans="1:25" x14ac:dyDescent="0.2">
      <c r="A1198" s="1730"/>
      <c r="B1198" s="1730"/>
      <c r="C1198" s="1730"/>
      <c r="D1198" s="1730"/>
      <c r="E1198" s="1314"/>
      <c r="R1198" s="1315"/>
      <c r="S1198" s="1315"/>
      <c r="T1198" s="1315"/>
      <c r="U1198" s="1315"/>
      <c r="V1198" s="1315"/>
      <c r="W1198" s="1315"/>
      <c r="X1198" s="1315"/>
      <c r="Y1198" s="1315"/>
    </row>
    <row r="1199" spans="1:25" x14ac:dyDescent="0.2">
      <c r="A1199" s="1730"/>
      <c r="B1199" s="1730"/>
      <c r="C1199" s="1730"/>
      <c r="D1199" s="1730"/>
      <c r="E1199" s="1314"/>
      <c r="R1199" s="1315"/>
      <c r="S1199" s="1315"/>
      <c r="T1199" s="1315"/>
      <c r="U1199" s="1315"/>
      <c r="V1199" s="1315"/>
      <c r="W1199" s="1315"/>
      <c r="X1199" s="1315"/>
      <c r="Y1199" s="1315"/>
    </row>
    <row r="1200" spans="1:25" x14ac:dyDescent="0.2">
      <c r="A1200" s="1730"/>
      <c r="B1200" s="1730"/>
      <c r="C1200" s="1730"/>
      <c r="D1200" s="1730"/>
      <c r="E1200" s="1314"/>
      <c r="R1200" s="1315"/>
      <c r="S1200" s="1315"/>
      <c r="T1200" s="1315"/>
      <c r="U1200" s="1315"/>
      <c r="V1200" s="1315"/>
      <c r="W1200" s="1315"/>
      <c r="X1200" s="1315"/>
      <c r="Y1200" s="1315"/>
    </row>
    <row r="1201" spans="1:25" x14ac:dyDescent="0.2">
      <c r="A1201" s="1730"/>
      <c r="B1201" s="1730"/>
      <c r="C1201" s="1730"/>
      <c r="D1201" s="1730"/>
      <c r="E1201" s="1314"/>
      <c r="R1201" s="1315"/>
      <c r="S1201" s="1315"/>
      <c r="T1201" s="1315"/>
      <c r="U1201" s="1315"/>
      <c r="V1201" s="1315"/>
      <c r="W1201" s="1315"/>
      <c r="X1201" s="1315"/>
      <c r="Y1201" s="1315"/>
    </row>
    <row r="1202" spans="1:25" x14ac:dyDescent="0.2">
      <c r="A1202" s="1730"/>
      <c r="B1202" s="1730"/>
      <c r="C1202" s="1730"/>
      <c r="D1202" s="1730"/>
      <c r="E1202" s="1314"/>
      <c r="R1202" s="1315"/>
      <c r="S1202" s="1315"/>
      <c r="T1202" s="1315"/>
      <c r="U1202" s="1315"/>
      <c r="V1202" s="1315"/>
      <c r="W1202" s="1315"/>
      <c r="X1202" s="1315"/>
      <c r="Y1202" s="1315"/>
    </row>
    <row r="1203" spans="1:25" x14ac:dyDescent="0.2">
      <c r="A1203" s="1730"/>
      <c r="B1203" s="1730"/>
      <c r="C1203" s="1730"/>
      <c r="D1203" s="1730"/>
      <c r="E1203" s="1314"/>
      <c r="R1203" s="1315"/>
      <c r="S1203" s="1315"/>
      <c r="T1203" s="1315"/>
      <c r="U1203" s="1315"/>
      <c r="V1203" s="1315"/>
      <c r="W1203" s="1315"/>
      <c r="X1203" s="1315"/>
      <c r="Y1203" s="1315"/>
    </row>
    <row r="1204" spans="1:25" x14ac:dyDescent="0.2">
      <c r="A1204" s="1730"/>
      <c r="B1204" s="1730"/>
      <c r="C1204" s="1730"/>
      <c r="D1204" s="1730"/>
      <c r="E1204" s="1314"/>
      <c r="R1204" s="1315"/>
      <c r="S1204" s="1315"/>
      <c r="T1204" s="1315"/>
      <c r="U1204" s="1315"/>
      <c r="V1204" s="1315"/>
      <c r="W1204" s="1315"/>
      <c r="X1204" s="1315"/>
      <c r="Y1204" s="1315"/>
    </row>
    <row r="1205" spans="1:25" x14ac:dyDescent="0.2">
      <c r="A1205" s="1730"/>
      <c r="B1205" s="1730"/>
      <c r="C1205" s="1730"/>
      <c r="D1205" s="1730"/>
      <c r="E1205" s="1314"/>
      <c r="R1205" s="1315"/>
      <c r="S1205" s="1315"/>
      <c r="T1205" s="1315"/>
      <c r="U1205" s="1315"/>
      <c r="V1205" s="1315"/>
      <c r="W1205" s="1315"/>
      <c r="X1205" s="1315"/>
      <c r="Y1205" s="1315"/>
    </row>
    <row r="1206" spans="1:25" x14ac:dyDescent="0.2">
      <c r="A1206" s="1730"/>
      <c r="B1206" s="1730"/>
      <c r="C1206" s="1730"/>
      <c r="D1206" s="1730"/>
      <c r="E1206" s="1314"/>
      <c r="R1206" s="1315"/>
      <c r="S1206" s="1315"/>
      <c r="T1206" s="1315"/>
      <c r="U1206" s="1315"/>
      <c r="V1206" s="1315"/>
      <c r="W1206" s="1315"/>
      <c r="X1206" s="1315"/>
      <c r="Y1206" s="1315"/>
    </row>
    <row r="1207" spans="1:25" x14ac:dyDescent="0.2">
      <c r="A1207" s="1730"/>
      <c r="B1207" s="1730"/>
      <c r="C1207" s="1730"/>
      <c r="D1207" s="1730"/>
      <c r="E1207" s="1314"/>
      <c r="R1207" s="1315"/>
      <c r="S1207" s="1315"/>
      <c r="T1207" s="1315"/>
      <c r="U1207" s="1315"/>
      <c r="V1207" s="1315"/>
      <c r="W1207" s="1315"/>
      <c r="X1207" s="1315"/>
      <c r="Y1207" s="1315"/>
    </row>
    <row r="1208" spans="1:25" x14ac:dyDescent="0.2">
      <c r="A1208" s="1730"/>
      <c r="B1208" s="1730"/>
      <c r="C1208" s="1730"/>
      <c r="D1208" s="1730"/>
      <c r="E1208" s="1314"/>
      <c r="R1208" s="1315"/>
      <c r="S1208" s="1315"/>
      <c r="T1208" s="1315"/>
      <c r="U1208" s="1315"/>
      <c r="V1208" s="1315"/>
      <c r="W1208" s="1315"/>
      <c r="X1208" s="1315"/>
      <c r="Y1208" s="1315"/>
    </row>
    <row r="1209" spans="1:25" x14ac:dyDescent="0.2">
      <c r="A1209" s="1730"/>
      <c r="B1209" s="1730"/>
      <c r="C1209" s="1730"/>
      <c r="D1209" s="1730"/>
      <c r="E1209" s="1314"/>
      <c r="R1209" s="1315"/>
      <c r="S1209" s="1315"/>
      <c r="T1209" s="1315"/>
      <c r="U1209" s="1315"/>
      <c r="V1209" s="1315"/>
      <c r="W1209" s="1315"/>
      <c r="X1209" s="1315"/>
      <c r="Y1209" s="1315"/>
    </row>
    <row r="1210" spans="1:25" x14ac:dyDescent="0.2">
      <c r="A1210" s="1730"/>
      <c r="B1210" s="1730"/>
      <c r="C1210" s="1730"/>
      <c r="D1210" s="1730"/>
      <c r="E1210" s="1314"/>
      <c r="R1210" s="1315"/>
      <c r="S1210" s="1315"/>
      <c r="T1210" s="1315"/>
      <c r="U1210" s="1315"/>
      <c r="V1210" s="1315"/>
      <c r="W1210" s="1315"/>
      <c r="X1210" s="1315"/>
      <c r="Y1210" s="1315"/>
    </row>
    <row r="1211" spans="1:25" x14ac:dyDescent="0.2">
      <c r="A1211" s="1730"/>
      <c r="B1211" s="1730"/>
      <c r="C1211" s="1730"/>
      <c r="D1211" s="1730"/>
      <c r="E1211" s="1314"/>
      <c r="R1211" s="1315"/>
      <c r="S1211" s="1315"/>
      <c r="T1211" s="1315"/>
      <c r="U1211" s="1315"/>
      <c r="V1211" s="1315"/>
      <c r="W1211" s="1315"/>
      <c r="X1211" s="1315"/>
      <c r="Y1211" s="1315"/>
    </row>
    <row r="1212" spans="1:25" x14ac:dyDescent="0.2">
      <c r="A1212" s="1730"/>
      <c r="B1212" s="1730"/>
      <c r="C1212" s="1730"/>
      <c r="D1212" s="1730"/>
      <c r="E1212" s="1314"/>
      <c r="R1212" s="1315"/>
      <c r="S1212" s="1315"/>
      <c r="T1212" s="1315"/>
      <c r="U1212" s="1315"/>
      <c r="V1212" s="1315"/>
      <c r="W1212" s="1315"/>
      <c r="X1212" s="1315"/>
      <c r="Y1212" s="1315"/>
    </row>
    <row r="1213" spans="1:25" x14ac:dyDescent="0.2">
      <c r="A1213" s="1730"/>
      <c r="B1213" s="1730"/>
      <c r="C1213" s="1730"/>
      <c r="D1213" s="1730"/>
      <c r="E1213" s="1314"/>
      <c r="R1213" s="1315"/>
      <c r="S1213" s="1315"/>
      <c r="T1213" s="1315"/>
      <c r="U1213" s="1315"/>
      <c r="V1213" s="1315"/>
      <c r="W1213" s="1315"/>
      <c r="X1213" s="1315"/>
      <c r="Y1213" s="1315"/>
    </row>
    <row r="1214" spans="1:25" x14ac:dyDescent="0.2">
      <c r="A1214" s="1730"/>
      <c r="B1214" s="1730"/>
      <c r="C1214" s="1730"/>
      <c r="D1214" s="1730"/>
      <c r="E1214" s="1314"/>
      <c r="R1214" s="1315"/>
      <c r="S1214" s="1315"/>
      <c r="T1214" s="1315"/>
      <c r="U1214" s="1315"/>
      <c r="V1214" s="1315"/>
      <c r="W1214" s="1315"/>
      <c r="X1214" s="1315"/>
      <c r="Y1214" s="1315"/>
    </row>
    <row r="1215" spans="1:25" x14ac:dyDescent="0.2">
      <c r="A1215" s="1730"/>
      <c r="B1215" s="1730"/>
      <c r="C1215" s="1730"/>
      <c r="D1215" s="1730"/>
      <c r="E1215" s="1314"/>
      <c r="R1215" s="1315"/>
      <c r="S1215" s="1315"/>
      <c r="T1215" s="1315"/>
      <c r="U1215" s="1315"/>
      <c r="V1215" s="1315"/>
      <c r="W1215" s="1315"/>
      <c r="X1215" s="1315"/>
      <c r="Y1215" s="1315"/>
    </row>
    <row r="1216" spans="1:25" x14ac:dyDescent="0.2">
      <c r="A1216" s="1730"/>
      <c r="B1216" s="1730"/>
      <c r="C1216" s="1730"/>
      <c r="D1216" s="1730"/>
      <c r="E1216" s="1314"/>
      <c r="R1216" s="1315"/>
      <c r="S1216" s="1315"/>
      <c r="T1216" s="1315"/>
      <c r="U1216" s="1315"/>
      <c r="V1216" s="1315"/>
      <c r="W1216" s="1315"/>
      <c r="X1216" s="1315"/>
      <c r="Y1216" s="1315"/>
    </row>
    <row r="1217" spans="1:25" x14ac:dyDescent="0.2">
      <c r="A1217" s="1730"/>
      <c r="B1217" s="1730"/>
      <c r="C1217" s="1730"/>
      <c r="D1217" s="1730"/>
      <c r="E1217" s="1314"/>
      <c r="R1217" s="1315"/>
      <c r="S1217" s="1315"/>
      <c r="T1217" s="1315"/>
      <c r="U1217" s="1315"/>
      <c r="V1217" s="1315"/>
      <c r="W1217" s="1315"/>
      <c r="X1217" s="1315"/>
      <c r="Y1217" s="1315"/>
    </row>
    <row r="1218" spans="1:25" x14ac:dyDescent="0.2">
      <c r="A1218" s="1730"/>
      <c r="B1218" s="1730"/>
      <c r="C1218" s="1730"/>
      <c r="D1218" s="1730"/>
      <c r="E1218" s="1314"/>
      <c r="R1218" s="1315"/>
      <c r="S1218" s="1315"/>
      <c r="T1218" s="1315"/>
      <c r="U1218" s="1315"/>
      <c r="V1218" s="1315"/>
      <c r="W1218" s="1315"/>
      <c r="X1218" s="1315"/>
      <c r="Y1218" s="1315"/>
    </row>
    <row r="1219" spans="1:25" x14ac:dyDescent="0.2">
      <c r="A1219" s="1730"/>
      <c r="B1219" s="1730"/>
      <c r="C1219" s="1730"/>
      <c r="D1219" s="1730"/>
      <c r="E1219" s="1314"/>
      <c r="R1219" s="1315"/>
      <c r="S1219" s="1315"/>
      <c r="T1219" s="1315"/>
      <c r="U1219" s="1315"/>
      <c r="V1219" s="1315"/>
      <c r="W1219" s="1315"/>
      <c r="X1219" s="1315"/>
      <c r="Y1219" s="1315"/>
    </row>
    <row r="1220" spans="1:25" x14ac:dyDescent="0.2">
      <c r="A1220" s="1730"/>
      <c r="B1220" s="1730"/>
      <c r="C1220" s="1730"/>
      <c r="D1220" s="1730"/>
      <c r="E1220" s="1314"/>
      <c r="R1220" s="1315"/>
      <c r="S1220" s="1315"/>
      <c r="T1220" s="1315"/>
      <c r="U1220" s="1315"/>
      <c r="V1220" s="1315"/>
      <c r="W1220" s="1315"/>
      <c r="X1220" s="1315"/>
      <c r="Y1220" s="1315"/>
    </row>
    <row r="1221" spans="1:25" x14ac:dyDescent="0.2">
      <c r="A1221" s="1730"/>
      <c r="B1221" s="1730"/>
      <c r="C1221" s="1730"/>
      <c r="D1221" s="1730"/>
      <c r="E1221" s="1314"/>
      <c r="R1221" s="1315"/>
      <c r="S1221" s="1315"/>
      <c r="T1221" s="1315"/>
      <c r="U1221" s="1315"/>
      <c r="V1221" s="1315"/>
      <c r="W1221" s="1315"/>
      <c r="X1221" s="1315"/>
      <c r="Y1221" s="1315"/>
    </row>
    <row r="1222" spans="1:25" x14ac:dyDescent="0.2">
      <c r="A1222" s="1730"/>
      <c r="B1222" s="1730"/>
      <c r="C1222" s="1730"/>
      <c r="D1222" s="1730"/>
      <c r="E1222" s="1314"/>
      <c r="R1222" s="1315"/>
      <c r="S1222" s="1315"/>
      <c r="T1222" s="1315"/>
      <c r="U1222" s="1315"/>
      <c r="V1222" s="1315"/>
      <c r="W1222" s="1315"/>
      <c r="X1222" s="1315"/>
      <c r="Y1222" s="1315"/>
    </row>
    <row r="1223" spans="1:25" x14ac:dyDescent="0.2">
      <c r="A1223" s="1730"/>
      <c r="B1223" s="1730"/>
      <c r="C1223" s="1730"/>
      <c r="D1223" s="1730"/>
      <c r="E1223" s="1314"/>
      <c r="R1223" s="1315"/>
      <c r="S1223" s="1315"/>
      <c r="T1223" s="1315"/>
      <c r="U1223" s="1315"/>
      <c r="V1223" s="1315"/>
      <c r="W1223" s="1315"/>
      <c r="X1223" s="1315"/>
      <c r="Y1223" s="1315"/>
    </row>
    <row r="1224" spans="1:25" x14ac:dyDescent="0.2">
      <c r="A1224" s="1730"/>
      <c r="B1224" s="1730"/>
      <c r="C1224" s="1730"/>
      <c r="D1224" s="1730"/>
      <c r="E1224" s="1314"/>
      <c r="R1224" s="1315"/>
      <c r="S1224" s="1315"/>
      <c r="T1224" s="1315"/>
      <c r="U1224" s="1315"/>
      <c r="V1224" s="1315"/>
      <c r="W1224" s="1315"/>
      <c r="X1224" s="1315"/>
      <c r="Y1224" s="1315"/>
    </row>
    <row r="1225" spans="1:25" x14ac:dyDescent="0.2">
      <c r="A1225" s="1730"/>
      <c r="B1225" s="1730"/>
      <c r="C1225" s="1730"/>
      <c r="D1225" s="1730"/>
      <c r="E1225" s="1314"/>
      <c r="R1225" s="1315"/>
      <c r="S1225" s="1315"/>
      <c r="T1225" s="1315"/>
      <c r="U1225" s="1315"/>
      <c r="V1225" s="1315"/>
      <c r="W1225" s="1315"/>
      <c r="X1225" s="1315"/>
      <c r="Y1225" s="1315"/>
    </row>
    <row r="1226" spans="1:25" x14ac:dyDescent="0.2">
      <c r="A1226" s="1730"/>
      <c r="B1226" s="1730"/>
      <c r="C1226" s="1730"/>
      <c r="D1226" s="1730"/>
      <c r="E1226" s="1314"/>
      <c r="R1226" s="1315"/>
      <c r="S1226" s="1315"/>
      <c r="T1226" s="1315"/>
      <c r="U1226" s="1315"/>
      <c r="V1226" s="1315"/>
      <c r="W1226" s="1315"/>
      <c r="X1226" s="1315"/>
      <c r="Y1226" s="1315"/>
    </row>
    <row r="1227" spans="1:25" x14ac:dyDescent="0.2">
      <c r="A1227" s="1730"/>
      <c r="B1227" s="1730"/>
      <c r="C1227" s="1730"/>
      <c r="D1227" s="1730"/>
      <c r="E1227" s="1314"/>
      <c r="R1227" s="1315"/>
      <c r="S1227" s="1315"/>
      <c r="T1227" s="1315"/>
      <c r="U1227" s="1315"/>
      <c r="V1227" s="1315"/>
      <c r="W1227" s="1315"/>
      <c r="X1227" s="1315"/>
      <c r="Y1227" s="1315"/>
    </row>
    <row r="1228" spans="1:25" x14ac:dyDescent="0.2">
      <c r="A1228" s="1730"/>
      <c r="B1228" s="1730"/>
      <c r="C1228" s="1730"/>
      <c r="D1228" s="1730"/>
      <c r="E1228" s="1314"/>
      <c r="R1228" s="1315"/>
      <c r="S1228" s="1315"/>
      <c r="T1228" s="1315"/>
      <c r="U1228" s="1315"/>
      <c r="V1228" s="1315"/>
      <c r="W1228" s="1315"/>
      <c r="X1228" s="1315"/>
      <c r="Y1228" s="1315"/>
    </row>
    <row r="1229" spans="1:25" x14ac:dyDescent="0.2">
      <c r="A1229" s="1730"/>
      <c r="B1229" s="1730"/>
      <c r="C1229" s="1730"/>
      <c r="D1229" s="1730"/>
      <c r="E1229" s="1314"/>
      <c r="R1229" s="1315"/>
      <c r="S1229" s="1315"/>
      <c r="T1229" s="1315"/>
      <c r="U1229" s="1315"/>
      <c r="V1229" s="1315"/>
      <c r="W1229" s="1315"/>
      <c r="X1229" s="1315"/>
      <c r="Y1229" s="1315"/>
    </row>
    <row r="1230" spans="1:25" x14ac:dyDescent="0.2">
      <c r="A1230" s="1730"/>
      <c r="B1230" s="1730"/>
      <c r="C1230" s="1730"/>
      <c r="D1230" s="1730"/>
      <c r="E1230" s="1314"/>
      <c r="R1230" s="1315"/>
      <c r="S1230" s="1315"/>
      <c r="T1230" s="1315"/>
      <c r="U1230" s="1315"/>
      <c r="V1230" s="1315"/>
      <c r="W1230" s="1315"/>
      <c r="X1230" s="1315"/>
      <c r="Y1230" s="1315"/>
    </row>
    <row r="1231" spans="1:25" x14ac:dyDescent="0.2">
      <c r="A1231" s="1730"/>
      <c r="B1231" s="1730"/>
      <c r="C1231" s="1730"/>
      <c r="D1231" s="1730"/>
      <c r="E1231" s="1314"/>
      <c r="R1231" s="1315"/>
      <c r="S1231" s="1315"/>
      <c r="T1231" s="1315"/>
      <c r="U1231" s="1315"/>
      <c r="V1231" s="1315"/>
      <c r="W1231" s="1315"/>
      <c r="X1231" s="1315"/>
      <c r="Y1231" s="1315"/>
    </row>
    <row r="1232" spans="1:25" x14ac:dyDescent="0.2">
      <c r="A1232" s="1730"/>
      <c r="B1232" s="1730"/>
      <c r="C1232" s="1730"/>
      <c r="D1232" s="1730"/>
      <c r="E1232" s="1314"/>
      <c r="R1232" s="1315"/>
      <c r="S1232" s="1315"/>
      <c r="T1232" s="1315"/>
      <c r="U1232" s="1315"/>
      <c r="V1232" s="1315"/>
      <c r="W1232" s="1315"/>
      <c r="X1232" s="1315"/>
      <c r="Y1232" s="1315"/>
    </row>
    <row r="1233" spans="1:25" x14ac:dyDescent="0.2">
      <c r="A1233" s="1730"/>
      <c r="B1233" s="1730"/>
      <c r="C1233" s="1730"/>
      <c r="D1233" s="1730"/>
      <c r="E1233" s="1314"/>
      <c r="R1233" s="1315"/>
      <c r="S1233" s="1315"/>
      <c r="T1233" s="1315"/>
      <c r="U1233" s="1315"/>
      <c r="V1233" s="1315"/>
      <c r="W1233" s="1315"/>
      <c r="X1233" s="1315"/>
      <c r="Y1233" s="1315"/>
    </row>
    <row r="1234" spans="1:25" x14ac:dyDescent="0.2">
      <c r="A1234" s="1730"/>
      <c r="B1234" s="1730"/>
      <c r="C1234" s="1730"/>
      <c r="D1234" s="1730"/>
      <c r="E1234" s="1314"/>
      <c r="R1234" s="1315"/>
      <c r="S1234" s="1315"/>
      <c r="T1234" s="1315"/>
      <c r="U1234" s="1315"/>
      <c r="V1234" s="1315"/>
      <c r="W1234" s="1315"/>
      <c r="X1234" s="1315"/>
      <c r="Y1234" s="1315"/>
    </row>
    <row r="1235" spans="1:25" x14ac:dyDescent="0.2">
      <c r="A1235" s="1730"/>
      <c r="B1235" s="1730"/>
      <c r="C1235" s="1730"/>
      <c r="D1235" s="1730"/>
      <c r="E1235" s="1314"/>
      <c r="R1235" s="1315"/>
      <c r="S1235" s="1315"/>
      <c r="T1235" s="1315"/>
      <c r="U1235" s="1315"/>
      <c r="V1235" s="1315"/>
      <c r="W1235" s="1315"/>
      <c r="X1235" s="1315"/>
      <c r="Y1235" s="1315"/>
    </row>
    <row r="1236" spans="1:25" x14ac:dyDescent="0.2">
      <c r="A1236" s="1730"/>
      <c r="B1236" s="1730"/>
      <c r="C1236" s="1730"/>
      <c r="D1236" s="1730"/>
      <c r="E1236" s="1314"/>
      <c r="R1236" s="1315"/>
      <c r="S1236" s="1315"/>
      <c r="T1236" s="1315"/>
      <c r="U1236" s="1315"/>
      <c r="V1236" s="1315"/>
      <c r="W1236" s="1315"/>
      <c r="X1236" s="1315"/>
      <c r="Y1236" s="1315"/>
    </row>
    <row r="1237" spans="1:25" x14ac:dyDescent="0.2">
      <c r="A1237" s="1730"/>
      <c r="B1237" s="1730"/>
      <c r="C1237" s="1730"/>
      <c r="D1237" s="1730"/>
      <c r="E1237" s="1314"/>
      <c r="R1237" s="1315"/>
      <c r="S1237" s="1315"/>
      <c r="T1237" s="1315"/>
      <c r="U1237" s="1315"/>
      <c r="V1237" s="1315"/>
      <c r="W1237" s="1315"/>
      <c r="X1237" s="1315"/>
      <c r="Y1237" s="1315"/>
    </row>
    <row r="1238" spans="1:25" x14ac:dyDescent="0.2">
      <c r="A1238" s="1730"/>
      <c r="B1238" s="1730"/>
      <c r="C1238" s="1730"/>
      <c r="D1238" s="1730"/>
      <c r="E1238" s="1314"/>
      <c r="R1238" s="1315"/>
      <c r="S1238" s="1315"/>
      <c r="T1238" s="1315"/>
      <c r="U1238" s="1315"/>
      <c r="V1238" s="1315"/>
      <c r="W1238" s="1315"/>
      <c r="X1238" s="1315"/>
      <c r="Y1238" s="1315"/>
    </row>
    <row r="1239" spans="1:25" x14ac:dyDescent="0.2">
      <c r="A1239" s="1730"/>
      <c r="B1239" s="1730"/>
      <c r="C1239" s="1730"/>
      <c r="D1239" s="1730"/>
      <c r="E1239" s="1314"/>
      <c r="R1239" s="1315"/>
      <c r="S1239" s="1315"/>
      <c r="T1239" s="1315"/>
      <c r="U1239" s="1315"/>
      <c r="V1239" s="1315"/>
      <c r="W1239" s="1315"/>
      <c r="X1239" s="1315"/>
      <c r="Y1239" s="1315"/>
    </row>
    <row r="1240" spans="1:25" x14ac:dyDescent="0.2">
      <c r="A1240" s="1730"/>
      <c r="B1240" s="1730"/>
      <c r="C1240" s="1730"/>
      <c r="D1240" s="1730"/>
      <c r="E1240" s="1314"/>
      <c r="R1240" s="1315"/>
      <c r="S1240" s="1315"/>
      <c r="T1240" s="1315"/>
      <c r="U1240" s="1315"/>
      <c r="V1240" s="1315"/>
      <c r="W1240" s="1315"/>
      <c r="X1240" s="1315"/>
      <c r="Y1240" s="1315"/>
    </row>
    <row r="1241" spans="1:25" x14ac:dyDescent="0.2">
      <c r="A1241" s="1730"/>
      <c r="B1241" s="1730"/>
      <c r="C1241" s="1730"/>
      <c r="D1241" s="1730"/>
      <c r="E1241" s="1314"/>
      <c r="R1241" s="1315"/>
      <c r="S1241" s="1315"/>
      <c r="T1241" s="1315"/>
      <c r="U1241" s="1315"/>
      <c r="V1241" s="1315"/>
      <c r="W1241" s="1315"/>
      <c r="X1241" s="1315"/>
      <c r="Y1241" s="1315"/>
    </row>
    <row r="1242" spans="1:25" x14ac:dyDescent="0.2">
      <c r="A1242" s="1730"/>
      <c r="B1242" s="1730"/>
      <c r="C1242" s="1730"/>
      <c r="D1242" s="1730"/>
      <c r="E1242" s="1314"/>
      <c r="R1242" s="1315"/>
      <c r="S1242" s="1315"/>
      <c r="T1242" s="1315"/>
      <c r="U1242" s="1315"/>
      <c r="V1242" s="1315"/>
      <c r="W1242" s="1315"/>
      <c r="X1242" s="1315"/>
      <c r="Y1242" s="1315"/>
    </row>
    <row r="1243" spans="1:25" x14ac:dyDescent="0.2">
      <c r="A1243" s="1730"/>
      <c r="B1243" s="1730"/>
      <c r="C1243" s="1730"/>
      <c r="D1243" s="1730"/>
      <c r="E1243" s="1314"/>
      <c r="R1243" s="1315"/>
      <c r="S1243" s="1315"/>
      <c r="T1243" s="1315"/>
      <c r="U1243" s="1315"/>
      <c r="V1243" s="1315"/>
      <c r="W1243" s="1315"/>
      <c r="X1243" s="1315"/>
      <c r="Y1243" s="1315"/>
    </row>
    <row r="1244" spans="1:25" x14ac:dyDescent="0.2">
      <c r="A1244" s="1730"/>
      <c r="B1244" s="1730"/>
      <c r="C1244" s="1730"/>
      <c r="D1244" s="1730"/>
      <c r="E1244" s="1314"/>
      <c r="R1244" s="1315"/>
      <c r="S1244" s="1315"/>
      <c r="T1244" s="1315"/>
      <c r="U1244" s="1315"/>
      <c r="V1244" s="1315"/>
      <c r="W1244" s="1315"/>
      <c r="X1244" s="1315"/>
      <c r="Y1244" s="1315"/>
    </row>
    <row r="1245" spans="1:25" x14ac:dyDescent="0.2">
      <c r="A1245" s="1730"/>
      <c r="B1245" s="1730"/>
      <c r="C1245" s="1730"/>
      <c r="D1245" s="1730"/>
      <c r="E1245" s="1314"/>
      <c r="R1245" s="1315"/>
      <c r="S1245" s="1315"/>
      <c r="T1245" s="1315"/>
      <c r="U1245" s="1315"/>
      <c r="V1245" s="1315"/>
      <c r="W1245" s="1315"/>
      <c r="X1245" s="1315"/>
      <c r="Y1245" s="1315"/>
    </row>
    <row r="1246" spans="1:25" x14ac:dyDescent="0.2">
      <c r="A1246" s="1730"/>
      <c r="B1246" s="1730"/>
      <c r="C1246" s="1730"/>
      <c r="D1246" s="1730"/>
      <c r="E1246" s="1314"/>
      <c r="R1246" s="1315"/>
      <c r="S1246" s="1315"/>
      <c r="T1246" s="1315"/>
      <c r="U1246" s="1315"/>
      <c r="V1246" s="1315"/>
      <c r="W1246" s="1315"/>
      <c r="X1246" s="1315"/>
      <c r="Y1246" s="1315"/>
    </row>
    <row r="1247" spans="1:25" x14ac:dyDescent="0.2">
      <c r="A1247" s="1730"/>
      <c r="B1247" s="1730"/>
      <c r="C1247" s="1730"/>
      <c r="D1247" s="1730"/>
      <c r="E1247" s="1314"/>
      <c r="R1247" s="1315"/>
      <c r="S1247" s="1315"/>
      <c r="T1247" s="1315"/>
      <c r="U1247" s="1315"/>
      <c r="V1247" s="1315"/>
      <c r="W1247" s="1315"/>
      <c r="X1247" s="1315"/>
      <c r="Y1247" s="1315"/>
    </row>
    <row r="1248" spans="1:25" x14ac:dyDescent="0.2">
      <c r="A1248" s="1730"/>
      <c r="B1248" s="1730"/>
      <c r="C1248" s="1730"/>
      <c r="D1248" s="1730"/>
      <c r="E1248" s="1314"/>
      <c r="R1248" s="1315"/>
      <c r="S1248" s="1315"/>
      <c r="T1248" s="1315"/>
      <c r="U1248" s="1315"/>
      <c r="V1248" s="1315"/>
      <c r="W1248" s="1315"/>
      <c r="X1248" s="1315"/>
      <c r="Y1248" s="1315"/>
    </row>
    <row r="1249" spans="1:25" x14ac:dyDescent="0.2">
      <c r="A1249" s="1730"/>
      <c r="B1249" s="1730"/>
      <c r="C1249" s="1730"/>
      <c r="D1249" s="1730"/>
      <c r="E1249" s="1314"/>
      <c r="R1249" s="1315"/>
      <c r="S1249" s="1315"/>
      <c r="T1249" s="1315"/>
      <c r="U1249" s="1315"/>
      <c r="V1249" s="1315"/>
      <c r="W1249" s="1315"/>
      <c r="X1249" s="1315"/>
      <c r="Y1249" s="1315"/>
    </row>
    <row r="1250" spans="1:25" x14ac:dyDescent="0.2">
      <c r="A1250" s="1730"/>
      <c r="B1250" s="1730"/>
      <c r="C1250" s="1730"/>
      <c r="D1250" s="1730"/>
      <c r="E1250" s="1314"/>
      <c r="R1250" s="1315"/>
      <c r="S1250" s="1315"/>
      <c r="T1250" s="1315"/>
      <c r="U1250" s="1315"/>
      <c r="V1250" s="1315"/>
      <c r="W1250" s="1315"/>
      <c r="X1250" s="1315"/>
      <c r="Y1250" s="1315"/>
    </row>
    <row r="1251" spans="1:25" x14ac:dyDescent="0.2">
      <c r="A1251" s="1730"/>
      <c r="B1251" s="1730"/>
      <c r="C1251" s="1730"/>
      <c r="D1251" s="1730"/>
      <c r="E1251" s="1314"/>
      <c r="R1251" s="1315"/>
      <c r="S1251" s="1315"/>
      <c r="T1251" s="1315"/>
      <c r="U1251" s="1315"/>
      <c r="V1251" s="1315"/>
      <c r="W1251" s="1315"/>
      <c r="X1251" s="1315"/>
      <c r="Y1251" s="1315"/>
    </row>
    <row r="1252" spans="1:25" x14ac:dyDescent="0.2">
      <c r="A1252" s="1730"/>
      <c r="B1252" s="1730"/>
      <c r="C1252" s="1730"/>
      <c r="D1252" s="1730"/>
      <c r="E1252" s="1314"/>
      <c r="R1252" s="1315"/>
      <c r="S1252" s="1315"/>
      <c r="T1252" s="1315"/>
      <c r="U1252" s="1315"/>
      <c r="V1252" s="1315"/>
      <c r="W1252" s="1315"/>
      <c r="X1252" s="1315"/>
      <c r="Y1252" s="1315"/>
    </row>
    <row r="1253" spans="1:25" x14ac:dyDescent="0.2">
      <c r="A1253" s="1730"/>
      <c r="B1253" s="1730"/>
      <c r="C1253" s="1730"/>
      <c r="D1253" s="1730"/>
      <c r="E1253" s="1314"/>
      <c r="R1253" s="1315"/>
      <c r="S1253" s="1315"/>
      <c r="T1253" s="1315"/>
      <c r="U1253" s="1315"/>
      <c r="V1253" s="1315"/>
      <c r="W1253" s="1315"/>
      <c r="X1253" s="1315"/>
      <c r="Y1253" s="1315"/>
    </row>
    <row r="1254" spans="1:25" x14ac:dyDescent="0.2">
      <c r="A1254" s="1730"/>
      <c r="B1254" s="1730"/>
      <c r="C1254" s="1730"/>
      <c r="D1254" s="1730"/>
      <c r="E1254" s="1314"/>
      <c r="R1254" s="1315"/>
      <c r="S1254" s="1315"/>
      <c r="T1254" s="1315"/>
      <c r="U1254" s="1315"/>
      <c r="V1254" s="1315"/>
      <c r="W1254" s="1315"/>
      <c r="X1254" s="1315"/>
      <c r="Y1254" s="1315"/>
    </row>
    <row r="1255" spans="1:25" x14ac:dyDescent="0.2">
      <c r="A1255" s="1730"/>
      <c r="B1255" s="1730"/>
      <c r="C1255" s="1730"/>
      <c r="D1255" s="1730"/>
      <c r="E1255" s="1314"/>
      <c r="R1255" s="1315"/>
      <c r="S1255" s="1315"/>
      <c r="T1255" s="1315"/>
      <c r="U1255" s="1315"/>
      <c r="V1255" s="1315"/>
      <c r="W1255" s="1315"/>
      <c r="X1255" s="1315"/>
      <c r="Y1255" s="1315"/>
    </row>
    <row r="1256" spans="1:25" x14ac:dyDescent="0.2">
      <c r="A1256" s="1730"/>
      <c r="B1256" s="1730"/>
      <c r="C1256" s="1730"/>
      <c r="D1256" s="1730"/>
      <c r="E1256" s="1314"/>
      <c r="R1256" s="1315"/>
      <c r="S1256" s="1315"/>
      <c r="T1256" s="1315"/>
      <c r="U1256" s="1315"/>
      <c r="V1256" s="1315"/>
      <c r="W1256" s="1315"/>
      <c r="X1256" s="1315"/>
      <c r="Y1256" s="1315"/>
    </row>
    <row r="1257" spans="1:25" x14ac:dyDescent="0.2">
      <c r="A1257" s="1730"/>
      <c r="B1257" s="1730"/>
      <c r="C1257" s="1730"/>
      <c r="D1257" s="1730"/>
      <c r="E1257" s="1314"/>
      <c r="R1257" s="1315"/>
      <c r="S1257" s="1315"/>
      <c r="T1257" s="1315"/>
      <c r="U1257" s="1315"/>
      <c r="V1257" s="1315"/>
      <c r="W1257" s="1315"/>
      <c r="X1257" s="1315"/>
      <c r="Y1257" s="1315"/>
    </row>
    <row r="1258" spans="1:25" x14ac:dyDescent="0.2">
      <c r="A1258" s="1730"/>
      <c r="B1258" s="1730"/>
      <c r="C1258" s="1730"/>
      <c r="D1258" s="1730"/>
      <c r="E1258" s="1314"/>
      <c r="R1258" s="1315"/>
      <c r="S1258" s="1315"/>
      <c r="T1258" s="1315"/>
      <c r="U1258" s="1315"/>
      <c r="V1258" s="1315"/>
      <c r="W1258" s="1315"/>
      <c r="X1258" s="1315"/>
      <c r="Y1258" s="1315"/>
    </row>
    <row r="1259" spans="1:25" x14ac:dyDescent="0.2">
      <c r="A1259" s="1730"/>
      <c r="B1259" s="1730"/>
      <c r="C1259" s="1730"/>
      <c r="D1259" s="1730"/>
      <c r="E1259" s="1314"/>
      <c r="R1259" s="1315"/>
      <c r="S1259" s="1315"/>
      <c r="T1259" s="1315"/>
      <c r="U1259" s="1315"/>
      <c r="V1259" s="1315"/>
      <c r="W1259" s="1315"/>
      <c r="X1259" s="1315"/>
      <c r="Y1259" s="1315"/>
    </row>
    <row r="1260" spans="1:25" x14ac:dyDescent="0.2">
      <c r="A1260" s="1730"/>
      <c r="B1260" s="1730"/>
      <c r="C1260" s="1730"/>
      <c r="D1260" s="1730"/>
      <c r="E1260" s="1314"/>
      <c r="R1260" s="1315"/>
      <c r="S1260" s="1315"/>
      <c r="T1260" s="1315"/>
      <c r="U1260" s="1315"/>
      <c r="V1260" s="1315"/>
      <c r="W1260" s="1315"/>
      <c r="X1260" s="1315"/>
      <c r="Y1260" s="1315"/>
    </row>
    <row r="1261" spans="1:25" x14ac:dyDescent="0.2">
      <c r="A1261" s="1730"/>
      <c r="B1261" s="1730"/>
      <c r="C1261" s="1730"/>
      <c r="D1261" s="1730"/>
      <c r="E1261" s="1314"/>
      <c r="R1261" s="1315"/>
      <c r="S1261" s="1315"/>
      <c r="T1261" s="1315"/>
      <c r="U1261" s="1315"/>
      <c r="V1261" s="1315"/>
      <c r="W1261" s="1315"/>
      <c r="X1261" s="1315"/>
      <c r="Y1261" s="1315"/>
    </row>
    <row r="1262" spans="1:25" x14ac:dyDescent="0.2">
      <c r="A1262" s="1730"/>
      <c r="B1262" s="1730"/>
      <c r="C1262" s="1730"/>
      <c r="D1262" s="1730"/>
      <c r="E1262" s="1314"/>
      <c r="R1262" s="1315"/>
      <c r="S1262" s="1315"/>
      <c r="T1262" s="1315"/>
      <c r="U1262" s="1315"/>
      <c r="V1262" s="1315"/>
      <c r="W1262" s="1315"/>
      <c r="X1262" s="1315"/>
      <c r="Y1262" s="1315"/>
    </row>
    <row r="1263" spans="1:25" x14ac:dyDescent="0.2">
      <c r="A1263" s="1730"/>
      <c r="B1263" s="1730"/>
      <c r="C1263" s="1730"/>
      <c r="D1263" s="1730"/>
      <c r="E1263" s="1314"/>
      <c r="R1263" s="1315"/>
      <c r="S1263" s="1315"/>
      <c r="T1263" s="1315"/>
      <c r="U1263" s="1315"/>
      <c r="V1263" s="1315"/>
      <c r="W1263" s="1315"/>
      <c r="X1263" s="1315"/>
      <c r="Y1263" s="1315"/>
    </row>
    <row r="1264" spans="1:25" x14ac:dyDescent="0.2">
      <c r="A1264" s="1730"/>
      <c r="B1264" s="1730"/>
      <c r="C1264" s="1730"/>
      <c r="D1264" s="1730"/>
      <c r="E1264" s="1314"/>
      <c r="R1264" s="1315"/>
      <c r="S1264" s="1315"/>
      <c r="T1264" s="1315"/>
      <c r="U1264" s="1315"/>
      <c r="V1264" s="1315"/>
      <c r="W1264" s="1315"/>
      <c r="X1264" s="1315"/>
      <c r="Y1264" s="1315"/>
    </row>
    <row r="1265" spans="1:25" x14ac:dyDescent="0.2">
      <c r="A1265" s="1730"/>
      <c r="B1265" s="1730"/>
      <c r="C1265" s="1730"/>
      <c r="D1265" s="1730"/>
      <c r="E1265" s="1314"/>
      <c r="R1265" s="1315"/>
      <c r="S1265" s="1315"/>
      <c r="T1265" s="1315"/>
      <c r="U1265" s="1315"/>
      <c r="V1265" s="1315"/>
      <c r="W1265" s="1315"/>
      <c r="X1265" s="1315"/>
      <c r="Y1265" s="1315"/>
    </row>
    <row r="1266" spans="1:25" x14ac:dyDescent="0.2">
      <c r="A1266" s="1730"/>
      <c r="B1266" s="1730"/>
      <c r="C1266" s="1730"/>
      <c r="D1266" s="1730"/>
      <c r="E1266" s="1314"/>
      <c r="R1266" s="1315"/>
      <c r="S1266" s="1315"/>
      <c r="T1266" s="1315"/>
      <c r="U1266" s="1315"/>
      <c r="V1266" s="1315"/>
      <c r="W1266" s="1315"/>
      <c r="X1266" s="1315"/>
      <c r="Y1266" s="1315"/>
    </row>
    <row r="1267" spans="1:25" x14ac:dyDescent="0.2">
      <c r="A1267" s="1730"/>
      <c r="B1267" s="1730"/>
      <c r="C1267" s="1730"/>
      <c r="D1267" s="1730"/>
      <c r="E1267" s="1314"/>
      <c r="R1267" s="1315"/>
      <c r="S1267" s="1315"/>
      <c r="T1267" s="1315"/>
      <c r="U1267" s="1315"/>
      <c r="V1267" s="1315"/>
      <c r="W1267" s="1315"/>
      <c r="X1267" s="1315"/>
      <c r="Y1267" s="1315"/>
    </row>
    <row r="1268" spans="1:25" x14ac:dyDescent="0.2">
      <c r="A1268" s="1730"/>
      <c r="B1268" s="1730"/>
      <c r="C1268" s="1730"/>
      <c r="D1268" s="1730"/>
      <c r="E1268" s="1314"/>
      <c r="R1268" s="1315"/>
      <c r="S1268" s="1315"/>
      <c r="T1268" s="1315"/>
      <c r="U1268" s="1315"/>
      <c r="V1268" s="1315"/>
      <c r="W1268" s="1315"/>
      <c r="X1268" s="1315"/>
      <c r="Y1268" s="1315"/>
    </row>
    <row r="1269" spans="1:25" x14ac:dyDescent="0.2">
      <c r="A1269" s="1730"/>
      <c r="B1269" s="1730"/>
      <c r="C1269" s="1730"/>
      <c r="D1269" s="1730"/>
      <c r="E1269" s="1314"/>
      <c r="R1269" s="1315"/>
      <c r="S1269" s="1315"/>
      <c r="T1269" s="1315"/>
      <c r="U1269" s="1315"/>
      <c r="V1269" s="1315"/>
      <c r="W1269" s="1315"/>
      <c r="X1269" s="1315"/>
      <c r="Y1269" s="1315"/>
    </row>
    <row r="1270" spans="1:25" x14ac:dyDescent="0.2">
      <c r="A1270" s="1730"/>
      <c r="B1270" s="1730"/>
      <c r="C1270" s="1730"/>
      <c r="D1270" s="1730"/>
      <c r="E1270" s="1314"/>
      <c r="R1270" s="1315"/>
      <c r="S1270" s="1315"/>
      <c r="T1270" s="1315"/>
      <c r="U1270" s="1315"/>
      <c r="V1270" s="1315"/>
      <c r="W1270" s="1315"/>
      <c r="X1270" s="1315"/>
      <c r="Y1270" s="1315"/>
    </row>
    <row r="1271" spans="1:25" x14ac:dyDescent="0.2">
      <c r="A1271" s="1730"/>
      <c r="B1271" s="1730"/>
      <c r="C1271" s="1730"/>
      <c r="D1271" s="1730"/>
      <c r="E1271" s="1314"/>
      <c r="R1271" s="1315"/>
      <c r="S1271" s="1315"/>
      <c r="T1271" s="1315"/>
      <c r="U1271" s="1315"/>
      <c r="V1271" s="1315"/>
      <c r="W1271" s="1315"/>
      <c r="X1271" s="1315"/>
      <c r="Y1271" s="1315"/>
    </row>
    <row r="1272" spans="1:25" x14ac:dyDescent="0.2">
      <c r="A1272" s="1730"/>
      <c r="B1272" s="1730"/>
      <c r="C1272" s="1730"/>
      <c r="D1272" s="1730"/>
      <c r="E1272" s="1314"/>
      <c r="R1272" s="1315"/>
      <c r="S1272" s="1315"/>
      <c r="T1272" s="1315"/>
      <c r="U1272" s="1315"/>
      <c r="V1272" s="1315"/>
      <c r="W1272" s="1315"/>
      <c r="X1272" s="1315"/>
      <c r="Y1272" s="1315"/>
    </row>
    <row r="1273" spans="1:25" x14ac:dyDescent="0.2">
      <c r="A1273" s="1730"/>
      <c r="B1273" s="1730"/>
      <c r="C1273" s="1730"/>
      <c r="D1273" s="1730"/>
      <c r="E1273" s="1314"/>
      <c r="R1273" s="1315"/>
      <c r="S1273" s="1315"/>
      <c r="T1273" s="1315"/>
      <c r="U1273" s="1315"/>
      <c r="V1273" s="1315"/>
      <c r="W1273" s="1315"/>
      <c r="X1273" s="1315"/>
      <c r="Y1273" s="1315"/>
    </row>
    <row r="1274" spans="1:25" x14ac:dyDescent="0.2">
      <c r="A1274" s="1730"/>
      <c r="B1274" s="1730"/>
      <c r="C1274" s="1730"/>
      <c r="D1274" s="1730"/>
      <c r="E1274" s="1314"/>
      <c r="R1274" s="1315"/>
      <c r="S1274" s="1315"/>
      <c r="T1274" s="1315"/>
      <c r="U1274" s="1315"/>
      <c r="V1274" s="1315"/>
      <c r="W1274" s="1315"/>
      <c r="X1274" s="1315"/>
      <c r="Y1274" s="1315"/>
    </row>
    <row r="1275" spans="1:25" x14ac:dyDescent="0.2">
      <c r="A1275" s="1730"/>
      <c r="B1275" s="1730"/>
      <c r="C1275" s="1730"/>
      <c r="D1275" s="1730"/>
      <c r="E1275" s="1314"/>
      <c r="R1275" s="1315"/>
      <c r="S1275" s="1315"/>
      <c r="T1275" s="1315"/>
      <c r="U1275" s="1315"/>
      <c r="V1275" s="1315"/>
      <c r="W1275" s="1315"/>
      <c r="X1275" s="1315"/>
      <c r="Y1275" s="1315"/>
    </row>
    <row r="1276" spans="1:25" x14ac:dyDescent="0.2">
      <c r="A1276" s="1730"/>
      <c r="B1276" s="1730"/>
      <c r="C1276" s="1730"/>
      <c r="D1276" s="1730"/>
      <c r="E1276" s="1314"/>
      <c r="R1276" s="1315"/>
      <c r="S1276" s="1315"/>
      <c r="T1276" s="1315"/>
      <c r="U1276" s="1315"/>
      <c r="V1276" s="1315"/>
      <c r="W1276" s="1315"/>
      <c r="X1276" s="1315"/>
      <c r="Y1276" s="1315"/>
    </row>
    <row r="1277" spans="1:25" x14ac:dyDescent="0.2">
      <c r="A1277" s="1730"/>
      <c r="B1277" s="1730"/>
      <c r="C1277" s="1730"/>
      <c r="D1277" s="1730"/>
      <c r="E1277" s="1314"/>
      <c r="R1277" s="1315"/>
      <c r="S1277" s="1315"/>
      <c r="T1277" s="1315"/>
      <c r="U1277" s="1315"/>
      <c r="V1277" s="1315"/>
      <c r="W1277" s="1315"/>
      <c r="X1277" s="1315"/>
      <c r="Y1277" s="1315"/>
    </row>
    <row r="1278" spans="1:25" x14ac:dyDescent="0.2">
      <c r="A1278" s="1730"/>
      <c r="B1278" s="1730"/>
      <c r="C1278" s="1730"/>
      <c r="D1278" s="1730"/>
      <c r="E1278" s="1314"/>
      <c r="R1278" s="1315"/>
      <c r="S1278" s="1315"/>
      <c r="T1278" s="1315"/>
      <c r="U1278" s="1315"/>
      <c r="V1278" s="1315"/>
      <c r="W1278" s="1315"/>
      <c r="X1278" s="1315"/>
      <c r="Y1278" s="1315"/>
    </row>
    <row r="1279" spans="1:25" x14ac:dyDescent="0.2">
      <c r="A1279" s="1730"/>
      <c r="B1279" s="1730"/>
      <c r="C1279" s="1730"/>
      <c r="D1279" s="1730"/>
      <c r="E1279" s="1314"/>
      <c r="R1279" s="1315"/>
      <c r="S1279" s="1315"/>
      <c r="T1279" s="1315"/>
      <c r="U1279" s="1315"/>
      <c r="V1279" s="1315"/>
      <c r="W1279" s="1315"/>
      <c r="X1279" s="1315"/>
      <c r="Y1279" s="1315"/>
    </row>
    <row r="1280" spans="1:25" x14ac:dyDescent="0.2">
      <c r="A1280" s="1730"/>
      <c r="B1280" s="1730"/>
      <c r="C1280" s="1730"/>
      <c r="D1280" s="1730"/>
      <c r="E1280" s="1314"/>
      <c r="R1280" s="1315"/>
      <c r="S1280" s="1315"/>
      <c r="T1280" s="1315"/>
      <c r="U1280" s="1315"/>
      <c r="V1280" s="1315"/>
      <c r="W1280" s="1315"/>
      <c r="X1280" s="1315"/>
      <c r="Y1280" s="1315"/>
    </row>
    <row r="1281" spans="1:25" x14ac:dyDescent="0.2">
      <c r="A1281" s="1730"/>
      <c r="B1281" s="1730"/>
      <c r="C1281" s="1730"/>
      <c r="D1281" s="1730"/>
      <c r="E1281" s="1314"/>
      <c r="R1281" s="1315"/>
      <c r="S1281" s="1315"/>
      <c r="T1281" s="1315"/>
      <c r="U1281" s="1315"/>
      <c r="V1281" s="1315"/>
      <c r="W1281" s="1315"/>
      <c r="X1281" s="1315"/>
      <c r="Y1281" s="1315"/>
    </row>
    <row r="1282" spans="1:25" x14ac:dyDescent="0.2">
      <c r="A1282" s="1730"/>
      <c r="B1282" s="1730"/>
      <c r="C1282" s="1730"/>
      <c r="D1282" s="1730"/>
      <c r="E1282" s="1314"/>
      <c r="R1282" s="1315"/>
      <c r="S1282" s="1315"/>
      <c r="T1282" s="1315"/>
      <c r="U1282" s="1315"/>
      <c r="V1282" s="1315"/>
      <c r="W1282" s="1315"/>
      <c r="X1282" s="1315"/>
      <c r="Y1282" s="1315"/>
    </row>
    <row r="1283" spans="1:25" x14ac:dyDescent="0.2">
      <c r="A1283" s="1730"/>
      <c r="B1283" s="1730"/>
      <c r="C1283" s="1730"/>
      <c r="D1283" s="1730"/>
      <c r="E1283" s="1314"/>
      <c r="R1283" s="1315"/>
      <c r="S1283" s="1315"/>
      <c r="T1283" s="1315"/>
      <c r="U1283" s="1315"/>
      <c r="V1283" s="1315"/>
      <c r="W1283" s="1315"/>
      <c r="X1283" s="1315"/>
      <c r="Y1283" s="1315"/>
    </row>
    <row r="1284" spans="1:25" x14ac:dyDescent="0.2">
      <c r="A1284" s="1730"/>
      <c r="B1284" s="1730"/>
      <c r="C1284" s="1730"/>
      <c r="D1284" s="1730"/>
      <c r="E1284" s="1314"/>
      <c r="R1284" s="1315"/>
      <c r="S1284" s="1315"/>
      <c r="T1284" s="1315"/>
      <c r="U1284" s="1315"/>
      <c r="V1284" s="1315"/>
      <c r="W1284" s="1315"/>
      <c r="X1284" s="1315"/>
      <c r="Y1284" s="1315"/>
    </row>
    <row r="1285" spans="1:25" x14ac:dyDescent="0.2">
      <c r="A1285" s="1730"/>
      <c r="B1285" s="1730"/>
      <c r="C1285" s="1730"/>
      <c r="D1285" s="1730"/>
      <c r="E1285" s="1314"/>
      <c r="R1285" s="1315"/>
      <c r="S1285" s="1315"/>
      <c r="T1285" s="1315"/>
      <c r="U1285" s="1315"/>
      <c r="V1285" s="1315"/>
      <c r="W1285" s="1315"/>
      <c r="X1285" s="1315"/>
      <c r="Y1285" s="1315"/>
    </row>
    <row r="1286" spans="1:25" x14ac:dyDescent="0.2">
      <c r="A1286" s="1730"/>
      <c r="B1286" s="1730"/>
      <c r="C1286" s="1730"/>
      <c r="D1286" s="1730"/>
      <c r="E1286" s="1314"/>
      <c r="R1286" s="1315"/>
      <c r="S1286" s="1315"/>
      <c r="T1286" s="1315"/>
      <c r="U1286" s="1315"/>
      <c r="V1286" s="1315"/>
      <c r="W1286" s="1315"/>
      <c r="X1286" s="1315"/>
      <c r="Y1286" s="1315"/>
    </row>
    <row r="1287" spans="1:25" x14ac:dyDescent="0.2">
      <c r="A1287" s="1730"/>
      <c r="B1287" s="1730"/>
      <c r="C1287" s="1730"/>
      <c r="D1287" s="1730"/>
      <c r="E1287" s="1314"/>
      <c r="R1287" s="1315"/>
      <c r="S1287" s="1315"/>
      <c r="T1287" s="1315"/>
      <c r="U1287" s="1315"/>
      <c r="V1287" s="1315"/>
      <c r="W1287" s="1315"/>
      <c r="X1287" s="1315"/>
      <c r="Y1287" s="1315"/>
    </row>
    <row r="1288" spans="1:25" x14ac:dyDescent="0.2">
      <c r="A1288" s="1730"/>
      <c r="B1288" s="1730"/>
      <c r="C1288" s="1730"/>
      <c r="D1288" s="1730"/>
      <c r="E1288" s="1314"/>
      <c r="R1288" s="1315"/>
      <c r="S1288" s="1315"/>
      <c r="T1288" s="1315"/>
      <c r="U1288" s="1315"/>
      <c r="V1288" s="1315"/>
      <c r="W1288" s="1315"/>
      <c r="X1288" s="1315"/>
      <c r="Y1288" s="1315"/>
    </row>
    <row r="1289" spans="1:25" x14ac:dyDescent="0.2">
      <c r="A1289" s="1730"/>
      <c r="B1289" s="1730"/>
      <c r="C1289" s="1730"/>
      <c r="D1289" s="1730"/>
      <c r="E1289" s="1314"/>
      <c r="R1289" s="1315"/>
      <c r="S1289" s="1315"/>
      <c r="T1289" s="1315"/>
      <c r="U1289" s="1315"/>
      <c r="V1289" s="1315"/>
      <c r="W1289" s="1315"/>
      <c r="X1289" s="1315"/>
      <c r="Y1289" s="1315"/>
    </row>
    <row r="1290" spans="1:25" x14ac:dyDescent="0.2">
      <c r="A1290" s="1730"/>
      <c r="B1290" s="1730"/>
      <c r="C1290" s="1730"/>
      <c r="D1290" s="1730"/>
      <c r="E1290" s="1314"/>
      <c r="R1290" s="1315"/>
      <c r="S1290" s="1315"/>
      <c r="T1290" s="1315"/>
      <c r="U1290" s="1315"/>
      <c r="V1290" s="1315"/>
      <c r="W1290" s="1315"/>
      <c r="X1290" s="1315"/>
      <c r="Y1290" s="1315"/>
    </row>
    <row r="1291" spans="1:25" x14ac:dyDescent="0.2">
      <c r="A1291" s="1730"/>
      <c r="B1291" s="1730"/>
      <c r="C1291" s="1730"/>
      <c r="D1291" s="1730"/>
      <c r="E1291" s="1314"/>
      <c r="R1291" s="1315"/>
      <c r="S1291" s="1315"/>
      <c r="T1291" s="1315"/>
      <c r="U1291" s="1315"/>
      <c r="V1291" s="1315"/>
      <c r="W1291" s="1315"/>
      <c r="X1291" s="1315"/>
      <c r="Y1291" s="1315"/>
    </row>
    <row r="1292" spans="1:25" x14ac:dyDescent="0.2">
      <c r="A1292" s="1730"/>
      <c r="B1292" s="1730"/>
      <c r="C1292" s="1730"/>
      <c r="D1292" s="1730"/>
      <c r="E1292" s="1314"/>
      <c r="R1292" s="1315"/>
      <c r="S1292" s="1315"/>
      <c r="T1292" s="1315"/>
      <c r="U1292" s="1315"/>
      <c r="V1292" s="1315"/>
      <c r="W1292" s="1315"/>
      <c r="X1292" s="1315"/>
      <c r="Y1292" s="1315"/>
    </row>
    <row r="1293" spans="1:25" x14ac:dyDescent="0.2">
      <c r="A1293" s="1730"/>
      <c r="B1293" s="1730"/>
      <c r="C1293" s="1730"/>
      <c r="D1293" s="1730"/>
      <c r="E1293" s="1314"/>
      <c r="R1293" s="1315"/>
      <c r="S1293" s="1315"/>
      <c r="T1293" s="1315"/>
      <c r="U1293" s="1315"/>
      <c r="V1293" s="1315"/>
      <c r="W1293" s="1315"/>
      <c r="X1293" s="1315"/>
      <c r="Y1293" s="1315"/>
    </row>
    <row r="1294" spans="1:25" x14ac:dyDescent="0.2">
      <c r="A1294" s="1730"/>
      <c r="B1294" s="1730"/>
      <c r="C1294" s="1730"/>
      <c r="D1294" s="1730"/>
      <c r="E1294" s="1314"/>
      <c r="R1294" s="1315"/>
      <c r="S1294" s="1315"/>
      <c r="T1294" s="1315"/>
      <c r="U1294" s="1315"/>
      <c r="V1294" s="1315"/>
      <c r="W1294" s="1315"/>
      <c r="X1294" s="1315"/>
      <c r="Y1294" s="1315"/>
    </row>
    <row r="1295" spans="1:25" x14ac:dyDescent="0.2">
      <c r="A1295" s="1730"/>
      <c r="B1295" s="1730"/>
      <c r="C1295" s="1730"/>
      <c r="D1295" s="1730"/>
      <c r="E1295" s="1314"/>
      <c r="R1295" s="1315"/>
      <c r="S1295" s="1315"/>
      <c r="T1295" s="1315"/>
      <c r="U1295" s="1315"/>
      <c r="V1295" s="1315"/>
      <c r="W1295" s="1315"/>
      <c r="X1295" s="1315"/>
      <c r="Y1295" s="1315"/>
    </row>
    <row r="1296" spans="1:25" x14ac:dyDescent="0.2">
      <c r="A1296" s="1730"/>
      <c r="B1296" s="1730"/>
      <c r="C1296" s="1730"/>
      <c r="D1296" s="1730"/>
      <c r="E1296" s="1314"/>
      <c r="R1296" s="1315"/>
      <c r="S1296" s="1315"/>
      <c r="T1296" s="1315"/>
      <c r="U1296" s="1315"/>
      <c r="V1296" s="1315"/>
      <c r="W1296" s="1315"/>
      <c r="X1296" s="1315"/>
      <c r="Y1296" s="1315"/>
    </row>
    <row r="1297" spans="1:25" x14ac:dyDescent="0.2">
      <c r="A1297" s="1730"/>
      <c r="B1297" s="1730"/>
      <c r="C1297" s="1730"/>
      <c r="D1297" s="1730"/>
      <c r="E1297" s="1314"/>
      <c r="R1297" s="1315"/>
      <c r="S1297" s="1315"/>
      <c r="T1297" s="1315"/>
      <c r="U1297" s="1315"/>
      <c r="V1297" s="1315"/>
      <c r="W1297" s="1315"/>
      <c r="X1297" s="1315"/>
      <c r="Y1297" s="1315"/>
    </row>
    <row r="1298" spans="1:25" x14ac:dyDescent="0.2">
      <c r="A1298" s="1730"/>
      <c r="B1298" s="1730"/>
      <c r="C1298" s="1730"/>
      <c r="D1298" s="1730"/>
      <c r="E1298" s="1314"/>
      <c r="R1298" s="1315"/>
      <c r="S1298" s="1315"/>
      <c r="T1298" s="1315"/>
      <c r="U1298" s="1315"/>
      <c r="V1298" s="1315"/>
      <c r="W1298" s="1315"/>
      <c r="X1298" s="1315"/>
      <c r="Y1298" s="1315"/>
    </row>
    <row r="1299" spans="1:25" x14ac:dyDescent="0.2">
      <c r="A1299" s="1730"/>
      <c r="B1299" s="1730"/>
      <c r="C1299" s="1730"/>
      <c r="D1299" s="1730"/>
      <c r="E1299" s="1314"/>
      <c r="R1299" s="1315"/>
      <c r="S1299" s="1315"/>
      <c r="T1299" s="1315"/>
      <c r="U1299" s="1315"/>
      <c r="V1299" s="1315"/>
      <c r="W1299" s="1315"/>
      <c r="X1299" s="1315"/>
      <c r="Y1299" s="1315"/>
    </row>
    <row r="1300" spans="1:25" x14ac:dyDescent="0.2">
      <c r="A1300" s="1730"/>
      <c r="B1300" s="1730"/>
      <c r="C1300" s="1730"/>
      <c r="D1300" s="1730"/>
      <c r="E1300" s="1314"/>
      <c r="R1300" s="1315"/>
      <c r="S1300" s="1315"/>
      <c r="T1300" s="1315"/>
      <c r="U1300" s="1315"/>
      <c r="V1300" s="1315"/>
      <c r="W1300" s="1315"/>
      <c r="X1300" s="1315"/>
      <c r="Y1300" s="1315"/>
    </row>
    <row r="1301" spans="1:25" x14ac:dyDescent="0.2">
      <c r="A1301" s="1730"/>
      <c r="B1301" s="1730"/>
      <c r="C1301" s="1730"/>
      <c r="D1301" s="1730"/>
      <c r="E1301" s="1314"/>
      <c r="R1301" s="1315"/>
      <c r="S1301" s="1315"/>
      <c r="T1301" s="1315"/>
      <c r="U1301" s="1315"/>
      <c r="V1301" s="1315"/>
      <c r="W1301" s="1315"/>
      <c r="X1301" s="1315"/>
      <c r="Y1301" s="1315"/>
    </row>
    <row r="1302" spans="1:25" x14ac:dyDescent="0.2">
      <c r="A1302" s="1730"/>
      <c r="B1302" s="1730"/>
      <c r="C1302" s="1730"/>
      <c r="D1302" s="1730"/>
      <c r="E1302" s="1314"/>
      <c r="R1302" s="1315"/>
      <c r="S1302" s="1315"/>
      <c r="T1302" s="1315"/>
      <c r="U1302" s="1315"/>
      <c r="V1302" s="1315"/>
      <c r="W1302" s="1315"/>
      <c r="X1302" s="1315"/>
      <c r="Y1302" s="1315"/>
    </row>
    <row r="1303" spans="1:25" x14ac:dyDescent="0.2">
      <c r="A1303" s="1730"/>
      <c r="B1303" s="1730"/>
      <c r="C1303" s="1730"/>
      <c r="D1303" s="1730"/>
      <c r="E1303" s="1314"/>
      <c r="R1303" s="1315"/>
      <c r="S1303" s="1315"/>
      <c r="T1303" s="1315"/>
      <c r="U1303" s="1315"/>
      <c r="V1303" s="1315"/>
      <c r="W1303" s="1315"/>
      <c r="X1303" s="1315"/>
      <c r="Y1303" s="1315"/>
    </row>
    <row r="1304" spans="1:25" x14ac:dyDescent="0.2">
      <c r="A1304" s="1730"/>
      <c r="B1304" s="1730"/>
      <c r="C1304" s="1730"/>
      <c r="D1304" s="1730"/>
      <c r="E1304" s="1314"/>
      <c r="R1304" s="1315"/>
      <c r="S1304" s="1315"/>
      <c r="T1304" s="1315"/>
      <c r="U1304" s="1315"/>
      <c r="V1304" s="1315"/>
      <c r="W1304" s="1315"/>
      <c r="X1304" s="1315"/>
      <c r="Y1304" s="1315"/>
    </row>
    <row r="1305" spans="1:25" x14ac:dyDescent="0.2">
      <c r="A1305" s="1730"/>
      <c r="B1305" s="1730"/>
      <c r="C1305" s="1730"/>
      <c r="D1305" s="1730"/>
      <c r="E1305" s="1314"/>
      <c r="R1305" s="1315"/>
      <c r="S1305" s="1315"/>
      <c r="T1305" s="1315"/>
      <c r="U1305" s="1315"/>
      <c r="V1305" s="1315"/>
      <c r="W1305" s="1315"/>
      <c r="X1305" s="1315"/>
      <c r="Y1305" s="1315"/>
    </row>
    <row r="1306" spans="1:25" x14ac:dyDescent="0.2">
      <c r="A1306" s="1730"/>
      <c r="B1306" s="1730"/>
      <c r="C1306" s="1730"/>
      <c r="D1306" s="1730"/>
      <c r="E1306" s="1314"/>
      <c r="R1306" s="1315"/>
      <c r="S1306" s="1315"/>
      <c r="T1306" s="1315"/>
      <c r="U1306" s="1315"/>
      <c r="V1306" s="1315"/>
      <c r="W1306" s="1315"/>
      <c r="X1306" s="1315"/>
      <c r="Y1306" s="1315"/>
    </row>
    <row r="1307" spans="1:25" x14ac:dyDescent="0.2">
      <c r="A1307" s="1730"/>
      <c r="B1307" s="1730"/>
      <c r="C1307" s="1730"/>
      <c r="D1307" s="1730"/>
      <c r="E1307" s="1314"/>
      <c r="R1307" s="1315"/>
      <c r="S1307" s="1315"/>
      <c r="T1307" s="1315"/>
      <c r="U1307" s="1315"/>
      <c r="V1307" s="1315"/>
      <c r="W1307" s="1315"/>
      <c r="X1307" s="1315"/>
      <c r="Y1307" s="1315"/>
    </row>
    <row r="1308" spans="1:25" x14ac:dyDescent="0.2">
      <c r="A1308" s="1730"/>
      <c r="B1308" s="1730"/>
      <c r="C1308" s="1730"/>
      <c r="D1308" s="1730"/>
      <c r="E1308" s="1314"/>
      <c r="R1308" s="1315"/>
      <c r="S1308" s="1315"/>
      <c r="T1308" s="1315"/>
      <c r="U1308" s="1315"/>
      <c r="V1308" s="1315"/>
      <c r="W1308" s="1315"/>
      <c r="X1308" s="1315"/>
      <c r="Y1308" s="1315"/>
    </row>
    <row r="1309" spans="1:25" x14ac:dyDescent="0.2">
      <c r="A1309" s="1730"/>
      <c r="B1309" s="1730"/>
      <c r="C1309" s="1730"/>
      <c r="D1309" s="1730"/>
      <c r="E1309" s="1314"/>
      <c r="R1309" s="1315"/>
      <c r="S1309" s="1315"/>
      <c r="T1309" s="1315"/>
      <c r="U1309" s="1315"/>
      <c r="V1309" s="1315"/>
      <c r="W1309" s="1315"/>
      <c r="X1309" s="1315"/>
      <c r="Y1309" s="1315"/>
    </row>
    <row r="1310" spans="1:25" x14ac:dyDescent="0.2">
      <c r="A1310" s="1730"/>
      <c r="B1310" s="1730"/>
      <c r="C1310" s="1730"/>
      <c r="D1310" s="1730"/>
      <c r="E1310" s="1314"/>
      <c r="R1310" s="1315"/>
      <c r="S1310" s="1315"/>
      <c r="T1310" s="1315"/>
      <c r="U1310" s="1315"/>
      <c r="V1310" s="1315"/>
      <c r="W1310" s="1315"/>
      <c r="X1310" s="1315"/>
      <c r="Y1310" s="1315"/>
    </row>
    <row r="1311" spans="1:25" x14ac:dyDescent="0.2">
      <c r="A1311" s="1730"/>
      <c r="B1311" s="1730"/>
      <c r="C1311" s="1730"/>
      <c r="D1311" s="1730"/>
      <c r="E1311" s="1314"/>
      <c r="R1311" s="1315"/>
      <c r="S1311" s="1315"/>
      <c r="T1311" s="1315"/>
      <c r="U1311" s="1315"/>
      <c r="V1311" s="1315"/>
      <c r="W1311" s="1315"/>
      <c r="X1311" s="1315"/>
      <c r="Y1311" s="1315"/>
    </row>
    <row r="1312" spans="1:25" x14ac:dyDescent="0.2">
      <c r="A1312" s="1730"/>
      <c r="B1312" s="1730"/>
      <c r="C1312" s="1730"/>
      <c r="D1312" s="1730"/>
      <c r="E1312" s="1314"/>
      <c r="R1312" s="1315"/>
      <c r="S1312" s="1315"/>
      <c r="T1312" s="1315"/>
      <c r="U1312" s="1315"/>
      <c r="V1312" s="1315"/>
      <c r="W1312" s="1315"/>
      <c r="X1312" s="1315"/>
      <c r="Y1312" s="1315"/>
    </row>
    <row r="1313" spans="1:25" x14ac:dyDescent="0.2">
      <c r="A1313" s="1730"/>
      <c r="B1313" s="1730"/>
      <c r="C1313" s="1730"/>
      <c r="D1313" s="1730"/>
      <c r="E1313" s="1314"/>
      <c r="R1313" s="1315"/>
      <c r="S1313" s="1315"/>
      <c r="T1313" s="1315"/>
      <c r="U1313" s="1315"/>
      <c r="V1313" s="1315"/>
      <c r="W1313" s="1315"/>
      <c r="X1313" s="1315"/>
      <c r="Y1313" s="1315"/>
    </row>
    <row r="1314" spans="1:25" x14ac:dyDescent="0.2">
      <c r="A1314" s="1730"/>
      <c r="B1314" s="1730"/>
      <c r="C1314" s="1730"/>
      <c r="D1314" s="1730"/>
      <c r="E1314" s="1314"/>
      <c r="R1314" s="1315"/>
      <c r="S1314" s="1315"/>
      <c r="T1314" s="1315"/>
      <c r="U1314" s="1315"/>
      <c r="V1314" s="1315"/>
      <c r="W1314" s="1315"/>
      <c r="X1314" s="1315"/>
      <c r="Y1314" s="1315"/>
    </row>
    <row r="1315" spans="1:25" x14ac:dyDescent="0.2">
      <c r="A1315" s="1730"/>
      <c r="B1315" s="1730"/>
      <c r="C1315" s="1730"/>
      <c r="D1315" s="1730"/>
      <c r="E1315" s="1314"/>
      <c r="R1315" s="1315"/>
      <c r="S1315" s="1315"/>
      <c r="T1315" s="1315"/>
      <c r="U1315" s="1315"/>
      <c r="V1315" s="1315"/>
      <c r="W1315" s="1315"/>
      <c r="X1315" s="1315"/>
      <c r="Y1315" s="1315"/>
    </row>
    <row r="1316" spans="1:25" x14ac:dyDescent="0.2">
      <c r="A1316" s="1730"/>
      <c r="B1316" s="1730"/>
      <c r="C1316" s="1730"/>
      <c r="D1316" s="1730"/>
      <c r="E1316" s="1314"/>
      <c r="R1316" s="1315"/>
      <c r="S1316" s="1315"/>
      <c r="T1316" s="1315"/>
      <c r="U1316" s="1315"/>
      <c r="V1316" s="1315"/>
      <c r="W1316" s="1315"/>
      <c r="X1316" s="1315"/>
      <c r="Y1316" s="1315"/>
    </row>
    <row r="1317" spans="1:25" x14ac:dyDescent="0.2">
      <c r="A1317" s="1730"/>
      <c r="B1317" s="1730"/>
      <c r="C1317" s="1730"/>
      <c r="D1317" s="1730"/>
      <c r="E1317" s="1314"/>
      <c r="R1317" s="1315"/>
      <c r="S1317" s="1315"/>
      <c r="T1317" s="1315"/>
      <c r="U1317" s="1315"/>
      <c r="V1317" s="1315"/>
      <c r="W1317" s="1315"/>
      <c r="X1317" s="1315"/>
      <c r="Y1317" s="1315"/>
    </row>
    <row r="1318" spans="1:25" x14ac:dyDescent="0.2">
      <c r="A1318" s="1730"/>
      <c r="B1318" s="1730"/>
      <c r="C1318" s="1730"/>
      <c r="D1318" s="1730"/>
      <c r="E1318" s="1314"/>
      <c r="R1318" s="1315"/>
      <c r="S1318" s="1315"/>
      <c r="T1318" s="1315"/>
      <c r="U1318" s="1315"/>
      <c r="V1318" s="1315"/>
      <c r="W1318" s="1315"/>
      <c r="X1318" s="1315"/>
      <c r="Y1318" s="1315"/>
    </row>
    <row r="1319" spans="1:25" x14ac:dyDescent="0.2">
      <c r="A1319" s="1730"/>
      <c r="B1319" s="1730"/>
      <c r="C1319" s="1730"/>
      <c r="D1319" s="1730"/>
      <c r="E1319" s="1314"/>
      <c r="R1319" s="1315"/>
      <c r="S1319" s="1315"/>
      <c r="T1319" s="1315"/>
      <c r="U1319" s="1315"/>
      <c r="V1319" s="1315"/>
      <c r="W1319" s="1315"/>
      <c r="X1319" s="1315"/>
      <c r="Y1319" s="1315"/>
    </row>
    <row r="1320" spans="1:25" x14ac:dyDescent="0.2">
      <c r="A1320" s="1730"/>
      <c r="B1320" s="1730"/>
      <c r="C1320" s="1730"/>
      <c r="D1320" s="1730"/>
      <c r="E1320" s="1314"/>
      <c r="R1320" s="1315"/>
      <c r="S1320" s="1315"/>
      <c r="T1320" s="1315"/>
      <c r="U1320" s="1315"/>
      <c r="V1320" s="1315"/>
      <c r="W1320" s="1315"/>
      <c r="X1320" s="1315"/>
      <c r="Y1320" s="1315"/>
    </row>
    <row r="1321" spans="1:25" x14ac:dyDescent="0.2">
      <c r="A1321" s="1730"/>
      <c r="B1321" s="1730"/>
      <c r="C1321" s="1730"/>
      <c r="D1321" s="1730"/>
      <c r="E1321" s="1314"/>
      <c r="R1321" s="1315"/>
      <c r="S1321" s="1315"/>
      <c r="T1321" s="1315"/>
      <c r="U1321" s="1315"/>
      <c r="V1321" s="1315"/>
      <c r="W1321" s="1315"/>
      <c r="X1321" s="1315"/>
      <c r="Y1321" s="1315"/>
    </row>
    <row r="1322" spans="1:25" x14ac:dyDescent="0.2">
      <c r="A1322" s="1730"/>
      <c r="B1322" s="1730"/>
      <c r="C1322" s="1730"/>
      <c r="D1322" s="1730"/>
      <c r="E1322" s="1314"/>
      <c r="R1322" s="1315"/>
      <c r="S1322" s="1315"/>
      <c r="T1322" s="1315"/>
      <c r="U1322" s="1315"/>
      <c r="V1322" s="1315"/>
      <c r="W1322" s="1315"/>
      <c r="X1322" s="1315"/>
      <c r="Y1322" s="1315"/>
    </row>
    <row r="1323" spans="1:25" x14ac:dyDescent="0.2">
      <c r="A1323" s="1730"/>
      <c r="B1323" s="1730"/>
      <c r="C1323" s="1730"/>
      <c r="D1323" s="1730"/>
      <c r="E1323" s="1314"/>
      <c r="R1323" s="1315"/>
      <c r="S1323" s="1315"/>
      <c r="T1323" s="1315"/>
      <c r="U1323" s="1315"/>
      <c r="V1323" s="1315"/>
      <c r="W1323" s="1315"/>
      <c r="X1323" s="1315"/>
      <c r="Y1323" s="1315"/>
    </row>
    <row r="1324" spans="1:25" x14ac:dyDescent="0.2">
      <c r="A1324" s="1730"/>
      <c r="B1324" s="1730"/>
      <c r="C1324" s="1730"/>
      <c r="D1324" s="1730"/>
      <c r="E1324" s="1314"/>
      <c r="R1324" s="1315"/>
      <c r="S1324" s="1315"/>
      <c r="T1324" s="1315"/>
      <c r="U1324" s="1315"/>
      <c r="V1324" s="1315"/>
      <c r="W1324" s="1315"/>
      <c r="X1324" s="1315"/>
      <c r="Y1324" s="1315"/>
    </row>
    <row r="1325" spans="1:25" x14ac:dyDescent="0.2">
      <c r="A1325" s="1730"/>
      <c r="B1325" s="1730"/>
      <c r="C1325" s="1730"/>
      <c r="D1325" s="1730"/>
      <c r="E1325" s="1314"/>
      <c r="R1325" s="1315"/>
      <c r="S1325" s="1315"/>
      <c r="T1325" s="1315"/>
      <c r="U1325" s="1315"/>
      <c r="V1325" s="1315"/>
      <c r="W1325" s="1315"/>
      <c r="X1325" s="1315"/>
      <c r="Y1325" s="1315"/>
    </row>
    <row r="1326" spans="1:25" x14ac:dyDescent="0.2">
      <c r="A1326" s="1730"/>
      <c r="B1326" s="1730"/>
      <c r="C1326" s="1730"/>
      <c r="D1326" s="1730"/>
      <c r="E1326" s="1314"/>
      <c r="R1326" s="1315"/>
      <c r="S1326" s="1315"/>
      <c r="T1326" s="1315"/>
      <c r="U1326" s="1315"/>
      <c r="V1326" s="1315"/>
      <c r="W1326" s="1315"/>
      <c r="X1326" s="1315"/>
      <c r="Y1326" s="1315"/>
    </row>
    <row r="1327" spans="1:25" x14ac:dyDescent="0.2">
      <c r="A1327" s="1730"/>
      <c r="B1327" s="1730"/>
      <c r="C1327" s="1730"/>
      <c r="D1327" s="1730"/>
      <c r="E1327" s="1314"/>
      <c r="R1327" s="1315"/>
      <c r="S1327" s="1315"/>
      <c r="T1327" s="1315"/>
      <c r="U1327" s="1315"/>
      <c r="V1327" s="1315"/>
      <c r="W1327" s="1315"/>
      <c r="X1327" s="1315"/>
      <c r="Y1327" s="1315"/>
    </row>
    <row r="1328" spans="1:25" x14ac:dyDescent="0.2">
      <c r="A1328" s="1730"/>
      <c r="B1328" s="1730"/>
      <c r="C1328" s="1730"/>
      <c r="D1328" s="1730"/>
      <c r="E1328" s="1314"/>
      <c r="R1328" s="1315"/>
      <c r="S1328" s="1315"/>
      <c r="T1328" s="1315"/>
      <c r="U1328" s="1315"/>
      <c r="V1328" s="1315"/>
      <c r="W1328" s="1315"/>
      <c r="X1328" s="1315"/>
      <c r="Y1328" s="1315"/>
    </row>
    <row r="1329" spans="1:25" x14ac:dyDescent="0.2">
      <c r="A1329" s="1730"/>
      <c r="B1329" s="1730"/>
      <c r="C1329" s="1730"/>
      <c r="D1329" s="1730"/>
      <c r="E1329" s="1314"/>
      <c r="R1329" s="1315"/>
      <c r="S1329" s="1315"/>
      <c r="T1329" s="1315"/>
      <c r="U1329" s="1315"/>
      <c r="V1329" s="1315"/>
      <c r="W1329" s="1315"/>
      <c r="X1329" s="1315"/>
      <c r="Y1329" s="1315"/>
    </row>
    <row r="1330" spans="1:25" x14ac:dyDescent="0.2">
      <c r="A1330" s="1730"/>
      <c r="B1330" s="1730"/>
      <c r="C1330" s="1730"/>
      <c r="D1330" s="1730"/>
      <c r="E1330" s="1314"/>
      <c r="R1330" s="1315"/>
      <c r="S1330" s="1315"/>
      <c r="T1330" s="1315"/>
      <c r="U1330" s="1315"/>
      <c r="V1330" s="1315"/>
      <c r="W1330" s="1315"/>
      <c r="X1330" s="1315"/>
      <c r="Y1330" s="1315"/>
    </row>
    <row r="1331" spans="1:25" x14ac:dyDescent="0.2">
      <c r="A1331" s="1730"/>
      <c r="B1331" s="1730"/>
      <c r="C1331" s="1730"/>
      <c r="D1331" s="1730"/>
      <c r="E1331" s="1314"/>
      <c r="R1331" s="1315"/>
      <c r="S1331" s="1315"/>
      <c r="T1331" s="1315"/>
      <c r="U1331" s="1315"/>
      <c r="V1331" s="1315"/>
      <c r="W1331" s="1315"/>
      <c r="X1331" s="1315"/>
      <c r="Y1331" s="1315"/>
    </row>
    <row r="1332" spans="1:25" x14ac:dyDescent="0.2">
      <c r="A1332" s="1730"/>
      <c r="B1332" s="1730"/>
      <c r="C1332" s="1730"/>
      <c r="D1332" s="1730"/>
      <c r="E1332" s="1314"/>
      <c r="R1332" s="1315"/>
      <c r="S1332" s="1315"/>
      <c r="T1332" s="1315"/>
      <c r="U1332" s="1315"/>
      <c r="V1332" s="1315"/>
      <c r="W1332" s="1315"/>
      <c r="X1332" s="1315"/>
      <c r="Y1332" s="1315"/>
    </row>
    <row r="1333" spans="1:25" x14ac:dyDescent="0.2">
      <c r="A1333" s="1730"/>
      <c r="B1333" s="1730"/>
      <c r="C1333" s="1730"/>
      <c r="D1333" s="1730"/>
      <c r="E1333" s="1314"/>
      <c r="R1333" s="1315"/>
      <c r="S1333" s="1315"/>
      <c r="T1333" s="1315"/>
      <c r="U1333" s="1315"/>
      <c r="V1333" s="1315"/>
      <c r="W1333" s="1315"/>
      <c r="X1333" s="1315"/>
      <c r="Y1333" s="1315"/>
    </row>
    <row r="1334" spans="1:25" x14ac:dyDescent="0.2">
      <c r="A1334" s="1730"/>
      <c r="B1334" s="1730"/>
      <c r="C1334" s="1730"/>
      <c r="D1334" s="1730"/>
      <c r="E1334" s="1314"/>
      <c r="R1334" s="1315"/>
      <c r="S1334" s="1315"/>
      <c r="T1334" s="1315"/>
      <c r="U1334" s="1315"/>
      <c r="V1334" s="1315"/>
      <c r="W1334" s="1315"/>
      <c r="X1334" s="1315"/>
      <c r="Y1334" s="1315"/>
    </row>
    <row r="1335" spans="1:25" x14ac:dyDescent="0.2">
      <c r="A1335" s="1730"/>
      <c r="B1335" s="1730"/>
      <c r="C1335" s="1730"/>
      <c r="D1335" s="1730"/>
      <c r="E1335" s="1314"/>
      <c r="R1335" s="1315"/>
      <c r="S1335" s="1315"/>
      <c r="T1335" s="1315"/>
      <c r="U1335" s="1315"/>
      <c r="V1335" s="1315"/>
      <c r="W1335" s="1315"/>
      <c r="X1335" s="1315"/>
      <c r="Y1335" s="1315"/>
    </row>
    <row r="1336" spans="1:25" x14ac:dyDescent="0.2">
      <c r="A1336" s="1730"/>
      <c r="B1336" s="1730"/>
      <c r="C1336" s="1730"/>
      <c r="D1336" s="1730"/>
      <c r="E1336" s="1314"/>
      <c r="R1336" s="1315"/>
      <c r="S1336" s="1315"/>
      <c r="T1336" s="1315"/>
      <c r="U1336" s="1315"/>
      <c r="V1336" s="1315"/>
      <c r="W1336" s="1315"/>
      <c r="X1336" s="1315"/>
      <c r="Y1336" s="1315"/>
    </row>
    <row r="1337" spans="1:25" x14ac:dyDescent="0.2">
      <c r="A1337" s="1730"/>
      <c r="B1337" s="1730"/>
      <c r="C1337" s="1730"/>
      <c r="D1337" s="1730"/>
      <c r="E1337" s="1314"/>
      <c r="R1337" s="1315"/>
      <c r="S1337" s="1315"/>
      <c r="T1337" s="1315"/>
      <c r="U1337" s="1315"/>
      <c r="V1337" s="1315"/>
      <c r="W1337" s="1315"/>
      <c r="X1337" s="1315"/>
      <c r="Y1337" s="1315"/>
    </row>
    <row r="1338" spans="1:25" x14ac:dyDescent="0.2">
      <c r="A1338" s="1730"/>
      <c r="B1338" s="1730"/>
      <c r="C1338" s="1730"/>
      <c r="D1338" s="1730"/>
      <c r="E1338" s="1314"/>
      <c r="R1338" s="1315"/>
      <c r="S1338" s="1315"/>
      <c r="T1338" s="1315"/>
      <c r="U1338" s="1315"/>
      <c r="V1338" s="1315"/>
      <c r="W1338" s="1315"/>
      <c r="X1338" s="1315"/>
      <c r="Y1338" s="1315"/>
    </row>
    <row r="1339" spans="1:25" x14ac:dyDescent="0.2">
      <c r="A1339" s="1730"/>
      <c r="B1339" s="1730"/>
      <c r="C1339" s="1730"/>
      <c r="D1339" s="1730"/>
      <c r="E1339" s="1314"/>
      <c r="R1339" s="1315"/>
      <c r="S1339" s="1315"/>
      <c r="T1339" s="1315"/>
      <c r="U1339" s="1315"/>
      <c r="V1339" s="1315"/>
      <c r="W1339" s="1315"/>
      <c r="X1339" s="1315"/>
      <c r="Y1339" s="1315"/>
    </row>
    <row r="1340" spans="1:25" x14ac:dyDescent="0.2">
      <c r="A1340" s="1730"/>
      <c r="B1340" s="1730"/>
      <c r="C1340" s="1730"/>
      <c r="D1340" s="1730"/>
      <c r="E1340" s="1314"/>
      <c r="R1340" s="1315"/>
      <c r="S1340" s="1315"/>
      <c r="T1340" s="1315"/>
      <c r="U1340" s="1315"/>
      <c r="V1340" s="1315"/>
      <c r="W1340" s="1315"/>
      <c r="X1340" s="1315"/>
      <c r="Y1340" s="1315"/>
    </row>
    <row r="1341" spans="1:25" x14ac:dyDescent="0.2">
      <c r="A1341" s="1730"/>
      <c r="B1341" s="1730"/>
      <c r="C1341" s="1730"/>
      <c r="D1341" s="1730"/>
      <c r="E1341" s="1314"/>
      <c r="R1341" s="1315"/>
      <c r="S1341" s="1315"/>
      <c r="T1341" s="1315"/>
      <c r="U1341" s="1315"/>
      <c r="V1341" s="1315"/>
      <c r="W1341" s="1315"/>
      <c r="X1341" s="1315"/>
      <c r="Y1341" s="1315"/>
    </row>
    <row r="1342" spans="1:25" x14ac:dyDescent="0.2">
      <c r="A1342" s="1730"/>
      <c r="B1342" s="1730"/>
      <c r="C1342" s="1730"/>
      <c r="D1342" s="1730"/>
      <c r="E1342" s="1314"/>
      <c r="R1342" s="1315"/>
      <c r="S1342" s="1315"/>
      <c r="T1342" s="1315"/>
      <c r="U1342" s="1315"/>
      <c r="V1342" s="1315"/>
      <c r="W1342" s="1315"/>
      <c r="X1342" s="1315"/>
      <c r="Y1342" s="1315"/>
    </row>
    <row r="1343" spans="1:25" x14ac:dyDescent="0.2">
      <c r="A1343" s="1730"/>
      <c r="B1343" s="1730"/>
      <c r="C1343" s="1730"/>
      <c r="D1343" s="1730"/>
      <c r="E1343" s="1314"/>
      <c r="R1343" s="1315"/>
      <c r="S1343" s="1315"/>
      <c r="T1343" s="1315"/>
      <c r="U1343" s="1315"/>
      <c r="V1343" s="1315"/>
      <c r="W1343" s="1315"/>
      <c r="X1343" s="1315"/>
      <c r="Y1343" s="1315"/>
    </row>
    <row r="1344" spans="1:25" x14ac:dyDescent="0.2">
      <c r="A1344" s="1730"/>
      <c r="B1344" s="1730"/>
      <c r="C1344" s="1730"/>
      <c r="D1344" s="1730"/>
      <c r="E1344" s="1314"/>
      <c r="R1344" s="1315"/>
      <c r="S1344" s="1315"/>
      <c r="T1344" s="1315"/>
      <c r="U1344" s="1315"/>
      <c r="V1344" s="1315"/>
      <c r="W1344" s="1315"/>
      <c r="X1344" s="1315"/>
      <c r="Y1344" s="1315"/>
    </row>
    <row r="1345" spans="1:25" x14ac:dyDescent="0.2">
      <c r="A1345" s="1730"/>
      <c r="B1345" s="1730"/>
      <c r="C1345" s="1730"/>
      <c r="D1345" s="1730"/>
      <c r="E1345" s="1314"/>
      <c r="R1345" s="1315"/>
      <c r="S1345" s="1315"/>
      <c r="T1345" s="1315"/>
      <c r="U1345" s="1315"/>
      <c r="V1345" s="1315"/>
      <c r="W1345" s="1315"/>
      <c r="X1345" s="1315"/>
      <c r="Y1345" s="1315"/>
    </row>
    <row r="1346" spans="1:25" x14ac:dyDescent="0.2">
      <c r="A1346" s="1730"/>
      <c r="B1346" s="1730"/>
      <c r="C1346" s="1730"/>
      <c r="D1346" s="1730"/>
      <c r="E1346" s="1314"/>
      <c r="R1346" s="1315"/>
      <c r="S1346" s="1315"/>
      <c r="T1346" s="1315"/>
      <c r="U1346" s="1315"/>
      <c r="V1346" s="1315"/>
      <c r="W1346" s="1315"/>
      <c r="X1346" s="1315"/>
      <c r="Y1346" s="1315"/>
    </row>
    <row r="1347" spans="1:25" x14ac:dyDescent="0.2">
      <c r="A1347" s="1730"/>
      <c r="B1347" s="1730"/>
      <c r="C1347" s="1730"/>
      <c r="D1347" s="1730"/>
      <c r="E1347" s="1314"/>
      <c r="R1347" s="1315"/>
      <c r="S1347" s="1315"/>
      <c r="T1347" s="1315"/>
      <c r="U1347" s="1315"/>
      <c r="V1347" s="1315"/>
      <c r="W1347" s="1315"/>
      <c r="X1347" s="1315"/>
      <c r="Y1347" s="1315"/>
    </row>
    <row r="1348" spans="1:25" x14ac:dyDescent="0.2">
      <c r="A1348" s="1730"/>
      <c r="B1348" s="1730"/>
      <c r="C1348" s="1730"/>
      <c r="D1348" s="1730"/>
      <c r="E1348" s="1314"/>
      <c r="R1348" s="1315"/>
      <c r="S1348" s="1315"/>
      <c r="T1348" s="1315"/>
      <c r="U1348" s="1315"/>
      <c r="V1348" s="1315"/>
      <c r="W1348" s="1315"/>
      <c r="X1348" s="1315"/>
      <c r="Y1348" s="1315"/>
    </row>
    <row r="1349" spans="1:25" x14ac:dyDescent="0.2">
      <c r="A1349" s="1730"/>
      <c r="B1349" s="1730"/>
      <c r="C1349" s="1730"/>
      <c r="D1349" s="1730"/>
      <c r="E1349" s="1314"/>
      <c r="R1349" s="1315"/>
      <c r="S1349" s="1315"/>
      <c r="T1349" s="1315"/>
      <c r="U1349" s="1315"/>
      <c r="V1349" s="1315"/>
      <c r="W1349" s="1315"/>
      <c r="X1349" s="1315"/>
      <c r="Y1349" s="1315"/>
    </row>
    <row r="1350" spans="1:25" x14ac:dyDescent="0.2">
      <c r="A1350" s="1730"/>
      <c r="B1350" s="1730"/>
      <c r="C1350" s="1730"/>
      <c r="D1350" s="1730"/>
      <c r="E1350" s="1314"/>
      <c r="R1350" s="1315"/>
      <c r="S1350" s="1315"/>
      <c r="T1350" s="1315"/>
      <c r="U1350" s="1315"/>
      <c r="V1350" s="1315"/>
      <c r="W1350" s="1315"/>
      <c r="X1350" s="1315"/>
      <c r="Y1350" s="1315"/>
    </row>
    <row r="1351" spans="1:25" x14ac:dyDescent="0.2">
      <c r="A1351" s="1730"/>
      <c r="B1351" s="1730"/>
      <c r="C1351" s="1730"/>
      <c r="D1351" s="1730"/>
      <c r="E1351" s="1314"/>
      <c r="R1351" s="1315"/>
      <c r="S1351" s="1315"/>
      <c r="T1351" s="1315"/>
      <c r="U1351" s="1315"/>
      <c r="V1351" s="1315"/>
      <c r="W1351" s="1315"/>
      <c r="X1351" s="1315"/>
      <c r="Y1351" s="1315"/>
    </row>
    <row r="1352" spans="1:25" x14ac:dyDescent="0.2">
      <c r="A1352" s="1730"/>
      <c r="B1352" s="1730"/>
      <c r="C1352" s="1730"/>
      <c r="D1352" s="1730"/>
      <c r="E1352" s="1314"/>
      <c r="R1352" s="1315"/>
      <c r="S1352" s="1315"/>
      <c r="T1352" s="1315"/>
      <c r="U1352" s="1315"/>
      <c r="V1352" s="1315"/>
      <c r="W1352" s="1315"/>
      <c r="X1352" s="1315"/>
      <c r="Y1352" s="1315"/>
    </row>
    <row r="1353" spans="1:25" x14ac:dyDescent="0.2">
      <c r="A1353" s="1730"/>
      <c r="B1353" s="1730"/>
      <c r="C1353" s="1730"/>
      <c r="D1353" s="1730"/>
      <c r="E1353" s="1314"/>
      <c r="R1353" s="1315"/>
      <c r="S1353" s="1315"/>
      <c r="T1353" s="1315"/>
      <c r="U1353" s="1315"/>
      <c r="V1353" s="1315"/>
      <c r="W1353" s="1315"/>
      <c r="X1353" s="1315"/>
      <c r="Y1353" s="1315"/>
    </row>
    <row r="1354" spans="1:25" x14ac:dyDescent="0.2">
      <c r="A1354" s="1730"/>
      <c r="B1354" s="1730"/>
      <c r="C1354" s="1730"/>
      <c r="D1354" s="1730"/>
      <c r="E1354" s="1314"/>
      <c r="R1354" s="1315"/>
      <c r="S1354" s="1315"/>
      <c r="T1354" s="1315"/>
      <c r="U1354" s="1315"/>
      <c r="V1354" s="1315"/>
      <c r="W1354" s="1315"/>
      <c r="X1354" s="1315"/>
      <c r="Y1354" s="1315"/>
    </row>
    <row r="1355" spans="1:25" x14ac:dyDescent="0.2">
      <c r="A1355" s="1730"/>
      <c r="B1355" s="1730"/>
      <c r="C1355" s="1730"/>
      <c r="D1355" s="1730"/>
      <c r="E1355" s="1314"/>
      <c r="R1355" s="1315"/>
      <c r="S1355" s="1315"/>
      <c r="T1355" s="1315"/>
      <c r="U1355" s="1315"/>
      <c r="V1355" s="1315"/>
      <c r="W1355" s="1315"/>
      <c r="X1355" s="1315"/>
      <c r="Y1355" s="1315"/>
    </row>
    <row r="1356" spans="1:25" x14ac:dyDescent="0.2">
      <c r="A1356" s="1730"/>
      <c r="B1356" s="1730"/>
      <c r="C1356" s="1730"/>
      <c r="D1356" s="1730"/>
      <c r="E1356" s="1314"/>
      <c r="R1356" s="1315"/>
      <c r="S1356" s="1315"/>
      <c r="T1356" s="1315"/>
      <c r="U1356" s="1315"/>
      <c r="V1356" s="1315"/>
      <c r="W1356" s="1315"/>
      <c r="X1356" s="1315"/>
      <c r="Y1356" s="1315"/>
    </row>
    <row r="1357" spans="1:25" x14ac:dyDescent="0.2">
      <c r="A1357" s="1730"/>
      <c r="B1357" s="1730"/>
      <c r="C1357" s="1730"/>
      <c r="D1357" s="1730"/>
      <c r="E1357" s="1314"/>
      <c r="R1357" s="1315"/>
      <c r="S1357" s="1315"/>
      <c r="T1357" s="1315"/>
      <c r="U1357" s="1315"/>
      <c r="V1357" s="1315"/>
      <c r="W1357" s="1315"/>
      <c r="X1357" s="1315"/>
      <c r="Y1357" s="1315"/>
    </row>
    <row r="1358" spans="1:25" x14ac:dyDescent="0.2">
      <c r="A1358" s="1730"/>
      <c r="B1358" s="1730"/>
      <c r="C1358" s="1730"/>
      <c r="D1358" s="1730"/>
      <c r="E1358" s="1314"/>
      <c r="R1358" s="1315"/>
      <c r="S1358" s="1315"/>
      <c r="T1358" s="1315"/>
      <c r="U1358" s="1315"/>
      <c r="V1358" s="1315"/>
      <c r="W1358" s="1315"/>
      <c r="X1358" s="1315"/>
      <c r="Y1358" s="1315"/>
    </row>
    <row r="1359" spans="1:25" x14ac:dyDescent="0.2">
      <c r="A1359" s="1730"/>
      <c r="B1359" s="1730"/>
      <c r="C1359" s="1730"/>
      <c r="D1359" s="1730"/>
      <c r="E1359" s="1314"/>
      <c r="R1359" s="1315"/>
      <c r="S1359" s="1315"/>
      <c r="T1359" s="1315"/>
      <c r="U1359" s="1315"/>
      <c r="V1359" s="1315"/>
      <c r="W1359" s="1315"/>
      <c r="X1359" s="1315"/>
      <c r="Y1359" s="1315"/>
    </row>
    <row r="1360" spans="1:25" x14ac:dyDescent="0.2">
      <c r="A1360" s="1730"/>
      <c r="B1360" s="1730"/>
      <c r="C1360" s="1730"/>
      <c r="D1360" s="1730"/>
      <c r="E1360" s="1314"/>
      <c r="R1360" s="1315"/>
      <c r="S1360" s="1315"/>
      <c r="T1360" s="1315"/>
      <c r="U1360" s="1315"/>
      <c r="V1360" s="1315"/>
      <c r="W1360" s="1315"/>
      <c r="X1360" s="1315"/>
      <c r="Y1360" s="1315"/>
    </row>
    <row r="1361" spans="1:25" x14ac:dyDescent="0.2">
      <c r="A1361" s="1730"/>
      <c r="B1361" s="1730"/>
      <c r="C1361" s="1730"/>
      <c r="D1361" s="1730"/>
      <c r="E1361" s="1314"/>
      <c r="R1361" s="1315"/>
      <c r="S1361" s="1315"/>
      <c r="T1361" s="1315"/>
      <c r="U1361" s="1315"/>
      <c r="V1361" s="1315"/>
      <c r="W1361" s="1315"/>
      <c r="X1361" s="1315"/>
      <c r="Y1361" s="1315"/>
    </row>
    <row r="1362" spans="1:25" x14ac:dyDescent="0.2">
      <c r="A1362" s="1730"/>
      <c r="B1362" s="1730"/>
      <c r="C1362" s="1730"/>
      <c r="D1362" s="1730"/>
      <c r="E1362" s="1314"/>
      <c r="R1362" s="1315"/>
      <c r="S1362" s="1315"/>
      <c r="T1362" s="1315"/>
      <c r="U1362" s="1315"/>
      <c r="V1362" s="1315"/>
      <c r="W1362" s="1315"/>
      <c r="X1362" s="1315"/>
      <c r="Y1362" s="1315"/>
    </row>
    <row r="1363" spans="1:25" x14ac:dyDescent="0.2">
      <c r="A1363" s="1730"/>
      <c r="B1363" s="1730"/>
      <c r="C1363" s="1730"/>
      <c r="D1363" s="1730"/>
      <c r="E1363" s="1314"/>
      <c r="R1363" s="1315"/>
      <c r="S1363" s="1315"/>
      <c r="T1363" s="1315"/>
      <c r="U1363" s="1315"/>
      <c r="V1363" s="1315"/>
      <c r="W1363" s="1315"/>
      <c r="X1363" s="1315"/>
      <c r="Y1363" s="1315"/>
    </row>
    <row r="1364" spans="1:25" x14ac:dyDescent="0.2">
      <c r="A1364" s="1730"/>
      <c r="B1364" s="1730"/>
      <c r="C1364" s="1730"/>
      <c r="D1364" s="1730"/>
      <c r="E1364" s="1314"/>
      <c r="R1364" s="1315"/>
      <c r="S1364" s="1315"/>
      <c r="T1364" s="1315"/>
      <c r="U1364" s="1315"/>
      <c r="V1364" s="1315"/>
      <c r="W1364" s="1315"/>
      <c r="X1364" s="1315"/>
      <c r="Y1364" s="1315"/>
    </row>
    <row r="1365" spans="1:25" x14ac:dyDescent="0.2">
      <c r="A1365" s="1730"/>
      <c r="B1365" s="1730"/>
      <c r="C1365" s="1730"/>
      <c r="D1365" s="1730"/>
      <c r="E1365" s="1314"/>
      <c r="R1365" s="1315"/>
      <c r="S1365" s="1315"/>
      <c r="T1365" s="1315"/>
      <c r="U1365" s="1315"/>
      <c r="V1365" s="1315"/>
      <c r="W1365" s="1315"/>
      <c r="X1365" s="1315"/>
      <c r="Y1365" s="1315"/>
    </row>
    <row r="1366" spans="1:25" x14ac:dyDescent="0.2">
      <c r="A1366" s="1730"/>
      <c r="B1366" s="1730"/>
      <c r="C1366" s="1730"/>
      <c r="D1366" s="1730"/>
      <c r="E1366" s="1314"/>
      <c r="R1366" s="1315"/>
      <c r="S1366" s="1315"/>
      <c r="T1366" s="1315"/>
      <c r="U1366" s="1315"/>
      <c r="V1366" s="1315"/>
      <c r="W1366" s="1315"/>
      <c r="X1366" s="1315"/>
      <c r="Y1366" s="1315"/>
    </row>
    <row r="1367" spans="1:25" x14ac:dyDescent="0.2">
      <c r="A1367" s="1730"/>
      <c r="B1367" s="1730"/>
      <c r="C1367" s="1730"/>
      <c r="D1367" s="1730"/>
      <c r="E1367" s="1314"/>
      <c r="R1367" s="1315"/>
      <c r="S1367" s="1315"/>
      <c r="T1367" s="1315"/>
      <c r="U1367" s="1315"/>
      <c r="V1367" s="1315"/>
      <c r="W1367" s="1315"/>
      <c r="X1367" s="1315"/>
      <c r="Y1367" s="1315"/>
    </row>
    <row r="1368" spans="1:25" x14ac:dyDescent="0.2">
      <c r="A1368" s="1730"/>
      <c r="B1368" s="1730"/>
      <c r="C1368" s="1730"/>
      <c r="D1368" s="1730"/>
      <c r="E1368" s="1314"/>
      <c r="R1368" s="1315"/>
      <c r="S1368" s="1315"/>
      <c r="T1368" s="1315"/>
      <c r="U1368" s="1315"/>
      <c r="V1368" s="1315"/>
      <c r="W1368" s="1315"/>
      <c r="X1368" s="1315"/>
      <c r="Y1368" s="1315"/>
    </row>
    <row r="1369" spans="1:25" x14ac:dyDescent="0.2">
      <c r="A1369" s="1730"/>
      <c r="B1369" s="1730"/>
      <c r="C1369" s="1730"/>
      <c r="D1369" s="1730"/>
      <c r="E1369" s="1314"/>
      <c r="R1369" s="1315"/>
      <c r="S1369" s="1315"/>
      <c r="T1369" s="1315"/>
      <c r="U1369" s="1315"/>
      <c r="V1369" s="1315"/>
      <c r="W1369" s="1315"/>
      <c r="X1369" s="1315"/>
      <c r="Y1369" s="1315"/>
    </row>
    <row r="1370" spans="1:25" x14ac:dyDescent="0.2">
      <c r="A1370" s="1730"/>
      <c r="B1370" s="1730"/>
      <c r="C1370" s="1730"/>
      <c r="D1370" s="1730"/>
      <c r="E1370" s="1314"/>
      <c r="R1370" s="1315"/>
      <c r="S1370" s="1315"/>
      <c r="T1370" s="1315"/>
      <c r="U1370" s="1315"/>
      <c r="V1370" s="1315"/>
      <c r="W1370" s="1315"/>
      <c r="X1370" s="1315"/>
      <c r="Y1370" s="1315"/>
    </row>
    <row r="1371" spans="1:25" x14ac:dyDescent="0.2">
      <c r="A1371" s="1730"/>
      <c r="B1371" s="1730"/>
      <c r="C1371" s="1730"/>
      <c r="D1371" s="1730"/>
      <c r="E1371" s="1314"/>
      <c r="R1371" s="1315"/>
      <c r="S1371" s="1315"/>
      <c r="T1371" s="1315"/>
      <c r="U1371" s="1315"/>
      <c r="V1371" s="1315"/>
      <c r="W1371" s="1315"/>
      <c r="X1371" s="1315"/>
      <c r="Y1371" s="1315"/>
    </row>
    <row r="1372" spans="1:25" x14ac:dyDescent="0.2">
      <c r="A1372" s="1730"/>
      <c r="B1372" s="1730"/>
      <c r="C1372" s="1730"/>
      <c r="D1372" s="1730"/>
      <c r="E1372" s="1314"/>
      <c r="R1372" s="1315"/>
      <c r="S1372" s="1315"/>
      <c r="T1372" s="1315"/>
      <c r="U1372" s="1315"/>
      <c r="V1372" s="1315"/>
      <c r="W1372" s="1315"/>
      <c r="X1372" s="1315"/>
      <c r="Y1372" s="1315"/>
    </row>
    <row r="1373" spans="1:25" x14ac:dyDescent="0.2">
      <c r="A1373" s="1730"/>
      <c r="B1373" s="1730"/>
      <c r="C1373" s="1730"/>
      <c r="D1373" s="1730"/>
      <c r="E1373" s="1314"/>
      <c r="R1373" s="1315"/>
      <c r="S1373" s="1315"/>
      <c r="T1373" s="1315"/>
      <c r="U1373" s="1315"/>
      <c r="V1373" s="1315"/>
      <c r="W1373" s="1315"/>
      <c r="X1373" s="1315"/>
      <c r="Y1373" s="1315"/>
    </row>
    <row r="1374" spans="1:25" x14ac:dyDescent="0.2">
      <c r="A1374" s="1730"/>
      <c r="B1374" s="1730"/>
      <c r="C1374" s="1730"/>
      <c r="D1374" s="1730"/>
      <c r="E1374" s="1314"/>
      <c r="R1374" s="1315"/>
      <c r="S1374" s="1315"/>
      <c r="T1374" s="1315"/>
      <c r="U1374" s="1315"/>
      <c r="V1374" s="1315"/>
      <c r="W1374" s="1315"/>
      <c r="X1374" s="1315"/>
      <c r="Y1374" s="1315"/>
    </row>
    <row r="1375" spans="1:25" x14ac:dyDescent="0.2">
      <c r="A1375" s="1730"/>
      <c r="B1375" s="1730"/>
      <c r="C1375" s="1730"/>
      <c r="D1375" s="1730"/>
      <c r="E1375" s="1314"/>
      <c r="R1375" s="1315"/>
      <c r="S1375" s="1315"/>
      <c r="T1375" s="1315"/>
      <c r="U1375" s="1315"/>
      <c r="V1375" s="1315"/>
      <c r="W1375" s="1315"/>
      <c r="X1375" s="1315"/>
      <c r="Y1375" s="1315"/>
    </row>
    <row r="1376" spans="1:25" x14ac:dyDescent="0.2">
      <c r="A1376" s="1730"/>
      <c r="B1376" s="1730"/>
      <c r="C1376" s="1730"/>
      <c r="D1376" s="1730"/>
      <c r="E1376" s="1314"/>
      <c r="R1376" s="1315"/>
      <c r="S1376" s="1315"/>
      <c r="T1376" s="1315"/>
      <c r="U1376" s="1315"/>
      <c r="V1376" s="1315"/>
      <c r="W1376" s="1315"/>
      <c r="X1376" s="1315"/>
      <c r="Y1376" s="1315"/>
    </row>
    <row r="1377" spans="1:25" x14ac:dyDescent="0.2">
      <c r="A1377" s="1730"/>
      <c r="B1377" s="1730"/>
      <c r="C1377" s="1730"/>
      <c r="D1377" s="1730"/>
      <c r="E1377" s="1314"/>
      <c r="R1377" s="1315"/>
      <c r="S1377" s="1315"/>
      <c r="T1377" s="1315"/>
      <c r="U1377" s="1315"/>
      <c r="V1377" s="1315"/>
      <c r="W1377" s="1315"/>
      <c r="X1377" s="1315"/>
      <c r="Y1377" s="1315"/>
    </row>
    <row r="1378" spans="1:25" x14ac:dyDescent="0.2">
      <c r="A1378" s="1730"/>
      <c r="B1378" s="1730"/>
      <c r="C1378" s="1730"/>
      <c r="D1378" s="1730"/>
      <c r="E1378" s="1314"/>
      <c r="R1378" s="1315"/>
      <c r="S1378" s="1315"/>
      <c r="T1378" s="1315"/>
      <c r="U1378" s="1315"/>
      <c r="V1378" s="1315"/>
      <c r="W1378" s="1315"/>
      <c r="X1378" s="1315"/>
      <c r="Y1378" s="1315"/>
    </row>
    <row r="1379" spans="1:25" x14ac:dyDescent="0.2">
      <c r="A1379" s="1730"/>
      <c r="B1379" s="1730"/>
      <c r="C1379" s="1730"/>
      <c r="D1379" s="1730"/>
      <c r="E1379" s="1314"/>
      <c r="R1379" s="1315"/>
      <c r="S1379" s="1315"/>
      <c r="T1379" s="1315"/>
      <c r="U1379" s="1315"/>
      <c r="V1379" s="1315"/>
      <c r="W1379" s="1315"/>
      <c r="X1379" s="1315"/>
      <c r="Y1379" s="1315"/>
    </row>
    <row r="1380" spans="1:25" x14ac:dyDescent="0.2">
      <c r="A1380" s="1730"/>
      <c r="B1380" s="1730"/>
      <c r="C1380" s="1730"/>
      <c r="D1380" s="1730"/>
      <c r="E1380" s="1314"/>
      <c r="R1380" s="1315"/>
      <c r="S1380" s="1315"/>
      <c r="T1380" s="1315"/>
      <c r="U1380" s="1315"/>
      <c r="V1380" s="1315"/>
      <c r="W1380" s="1315"/>
      <c r="X1380" s="1315"/>
      <c r="Y1380" s="1315"/>
    </row>
    <row r="1381" spans="1:25" x14ac:dyDescent="0.2">
      <c r="A1381" s="1730"/>
      <c r="B1381" s="1730"/>
      <c r="C1381" s="1730"/>
      <c r="D1381" s="1730"/>
      <c r="E1381" s="1314"/>
      <c r="R1381" s="1315"/>
      <c r="S1381" s="1315"/>
      <c r="T1381" s="1315"/>
      <c r="U1381" s="1315"/>
      <c r="V1381" s="1315"/>
      <c r="W1381" s="1315"/>
      <c r="X1381" s="1315"/>
      <c r="Y1381" s="1315"/>
    </row>
    <row r="1382" spans="1:25" x14ac:dyDescent="0.2">
      <c r="A1382" s="1730"/>
      <c r="B1382" s="1730"/>
      <c r="C1382" s="1730"/>
      <c r="D1382" s="1730"/>
      <c r="E1382" s="1314"/>
      <c r="R1382" s="1315"/>
      <c r="S1382" s="1315"/>
      <c r="T1382" s="1315"/>
      <c r="U1382" s="1315"/>
      <c r="V1382" s="1315"/>
      <c r="W1382" s="1315"/>
      <c r="X1382" s="1315"/>
      <c r="Y1382" s="1315"/>
    </row>
    <row r="1383" spans="1:25" x14ac:dyDescent="0.2">
      <c r="A1383" s="1730"/>
      <c r="B1383" s="1730"/>
      <c r="C1383" s="1730"/>
      <c r="D1383" s="1730"/>
      <c r="E1383" s="1314"/>
      <c r="R1383" s="1315"/>
      <c r="S1383" s="1315"/>
      <c r="T1383" s="1315"/>
      <c r="U1383" s="1315"/>
      <c r="V1383" s="1315"/>
      <c r="W1383" s="1315"/>
      <c r="X1383" s="1315"/>
      <c r="Y1383" s="1315"/>
    </row>
    <row r="1384" spans="1:25" x14ac:dyDescent="0.2">
      <c r="A1384" s="1730"/>
      <c r="B1384" s="1730"/>
      <c r="C1384" s="1730"/>
      <c r="D1384" s="1730"/>
      <c r="E1384" s="1314"/>
      <c r="R1384" s="1315"/>
      <c r="S1384" s="1315"/>
      <c r="T1384" s="1315"/>
      <c r="U1384" s="1315"/>
      <c r="V1384" s="1315"/>
      <c r="W1384" s="1315"/>
      <c r="X1384" s="1315"/>
      <c r="Y1384" s="1315"/>
    </row>
    <row r="1385" spans="1:25" x14ac:dyDescent="0.2">
      <c r="A1385" s="1730"/>
      <c r="B1385" s="1730"/>
      <c r="C1385" s="1730"/>
      <c r="D1385" s="1730"/>
      <c r="E1385" s="1314"/>
      <c r="R1385" s="1315"/>
      <c r="S1385" s="1315"/>
      <c r="T1385" s="1315"/>
      <c r="U1385" s="1315"/>
      <c r="V1385" s="1315"/>
      <c r="W1385" s="1315"/>
      <c r="X1385" s="1315"/>
      <c r="Y1385" s="1315"/>
    </row>
    <row r="1386" spans="1:25" x14ac:dyDescent="0.2">
      <c r="A1386" s="1730"/>
      <c r="B1386" s="1730"/>
      <c r="C1386" s="1730"/>
      <c r="D1386" s="1730"/>
      <c r="E1386" s="1314"/>
      <c r="R1386" s="1315"/>
      <c r="S1386" s="1315"/>
      <c r="T1386" s="1315"/>
      <c r="U1386" s="1315"/>
      <c r="V1386" s="1315"/>
      <c r="W1386" s="1315"/>
      <c r="X1386" s="1315"/>
      <c r="Y1386" s="1315"/>
    </row>
    <row r="1387" spans="1:25" x14ac:dyDescent="0.2">
      <c r="A1387" s="1730"/>
      <c r="B1387" s="1730"/>
      <c r="C1387" s="1730"/>
      <c r="D1387" s="1730"/>
      <c r="E1387" s="1314"/>
      <c r="R1387" s="1315"/>
      <c r="S1387" s="1315"/>
      <c r="T1387" s="1315"/>
      <c r="U1387" s="1315"/>
      <c r="V1387" s="1315"/>
      <c r="W1387" s="1315"/>
      <c r="X1387" s="1315"/>
      <c r="Y1387" s="1315"/>
    </row>
    <row r="1388" spans="1:25" x14ac:dyDescent="0.2">
      <c r="A1388" s="1730"/>
      <c r="B1388" s="1730"/>
      <c r="C1388" s="1730"/>
      <c r="D1388" s="1730"/>
      <c r="E1388" s="1314"/>
      <c r="R1388" s="1315"/>
      <c r="S1388" s="1315"/>
      <c r="T1388" s="1315"/>
      <c r="U1388" s="1315"/>
      <c r="V1388" s="1315"/>
      <c r="W1388" s="1315"/>
      <c r="X1388" s="1315"/>
      <c r="Y1388" s="1315"/>
    </row>
    <row r="1389" spans="1:25" x14ac:dyDescent="0.2">
      <c r="A1389" s="1730"/>
      <c r="B1389" s="1730"/>
      <c r="C1389" s="1730"/>
      <c r="D1389" s="1730"/>
      <c r="E1389" s="1314"/>
      <c r="R1389" s="1315"/>
      <c r="S1389" s="1315"/>
      <c r="T1389" s="1315"/>
      <c r="U1389" s="1315"/>
      <c r="V1389" s="1315"/>
      <c r="W1389" s="1315"/>
      <c r="X1389" s="1315"/>
      <c r="Y1389" s="1315"/>
    </row>
    <row r="1390" spans="1:25" x14ac:dyDescent="0.2">
      <c r="A1390" s="1730"/>
      <c r="B1390" s="1730"/>
      <c r="C1390" s="1730"/>
      <c r="D1390" s="1730"/>
      <c r="E1390" s="1314"/>
      <c r="R1390" s="1315"/>
      <c r="S1390" s="1315"/>
      <c r="T1390" s="1315"/>
      <c r="U1390" s="1315"/>
      <c r="V1390" s="1315"/>
      <c r="W1390" s="1315"/>
      <c r="X1390" s="1315"/>
      <c r="Y1390" s="1315"/>
    </row>
    <row r="1391" spans="1:25" x14ac:dyDescent="0.2">
      <c r="A1391" s="1730"/>
      <c r="B1391" s="1730"/>
      <c r="C1391" s="1730"/>
      <c r="D1391" s="1730"/>
      <c r="E1391" s="1314"/>
      <c r="R1391" s="1315"/>
      <c r="S1391" s="1315"/>
      <c r="T1391" s="1315"/>
      <c r="U1391" s="1315"/>
      <c r="V1391" s="1315"/>
      <c r="W1391" s="1315"/>
      <c r="X1391" s="1315"/>
      <c r="Y1391" s="1315"/>
    </row>
    <row r="1392" spans="1:25" x14ac:dyDescent="0.2">
      <c r="A1392" s="1730"/>
      <c r="B1392" s="1730"/>
      <c r="C1392" s="1730"/>
      <c r="D1392" s="1730"/>
      <c r="E1392" s="1314"/>
      <c r="R1392" s="1315"/>
      <c r="S1392" s="1315"/>
      <c r="T1392" s="1315"/>
      <c r="U1392" s="1315"/>
      <c r="V1392" s="1315"/>
      <c r="W1392" s="1315"/>
      <c r="X1392" s="1315"/>
      <c r="Y1392" s="1315"/>
    </row>
    <row r="1393" spans="1:25" x14ac:dyDescent="0.2">
      <c r="A1393" s="1730"/>
      <c r="B1393" s="1730"/>
      <c r="C1393" s="1730"/>
      <c r="D1393" s="1730"/>
      <c r="E1393" s="1314"/>
      <c r="R1393" s="1315"/>
      <c r="S1393" s="1315"/>
      <c r="T1393" s="1315"/>
      <c r="U1393" s="1315"/>
      <c r="V1393" s="1315"/>
      <c r="W1393" s="1315"/>
      <c r="X1393" s="1315"/>
      <c r="Y1393" s="1315"/>
    </row>
    <row r="1394" spans="1:25" x14ac:dyDescent="0.2">
      <c r="A1394" s="1730"/>
      <c r="B1394" s="1730"/>
      <c r="C1394" s="1730"/>
      <c r="D1394" s="1730"/>
      <c r="E1394" s="1314"/>
      <c r="R1394" s="1315"/>
      <c r="S1394" s="1315"/>
      <c r="T1394" s="1315"/>
      <c r="U1394" s="1315"/>
      <c r="V1394" s="1315"/>
      <c r="W1394" s="1315"/>
      <c r="X1394" s="1315"/>
      <c r="Y1394" s="1315"/>
    </row>
    <row r="1395" spans="1:25" x14ac:dyDescent="0.2">
      <c r="A1395" s="1730"/>
      <c r="B1395" s="1730"/>
      <c r="C1395" s="1730"/>
      <c r="D1395" s="1730"/>
      <c r="E1395" s="1314"/>
      <c r="R1395" s="1315"/>
      <c r="S1395" s="1315"/>
      <c r="T1395" s="1315"/>
      <c r="U1395" s="1315"/>
      <c r="V1395" s="1315"/>
      <c r="W1395" s="1315"/>
      <c r="X1395" s="1315"/>
      <c r="Y1395" s="1315"/>
    </row>
    <row r="1396" spans="1:25" x14ac:dyDescent="0.2">
      <c r="A1396" s="1730"/>
      <c r="B1396" s="1730"/>
      <c r="C1396" s="1730"/>
      <c r="D1396" s="1730"/>
      <c r="E1396" s="1314"/>
      <c r="R1396" s="1315"/>
      <c r="S1396" s="1315"/>
      <c r="T1396" s="1315"/>
      <c r="U1396" s="1315"/>
      <c r="V1396" s="1315"/>
      <c r="W1396" s="1315"/>
      <c r="X1396" s="1315"/>
      <c r="Y1396" s="1315"/>
    </row>
    <row r="1397" spans="1:25" x14ac:dyDescent="0.2">
      <c r="A1397" s="1730"/>
      <c r="B1397" s="1730"/>
      <c r="C1397" s="1730"/>
      <c r="D1397" s="1730"/>
      <c r="E1397" s="1314"/>
      <c r="R1397" s="1315"/>
      <c r="S1397" s="1315"/>
      <c r="T1397" s="1315"/>
      <c r="U1397" s="1315"/>
      <c r="V1397" s="1315"/>
      <c r="W1397" s="1315"/>
      <c r="X1397" s="1315"/>
      <c r="Y1397" s="1315"/>
    </row>
    <row r="1398" spans="1:25" x14ac:dyDescent="0.2">
      <c r="A1398" s="1730"/>
      <c r="B1398" s="1730"/>
      <c r="C1398" s="1730"/>
      <c r="D1398" s="1730"/>
      <c r="E1398" s="1314"/>
      <c r="R1398" s="1315"/>
      <c r="S1398" s="1315"/>
      <c r="T1398" s="1315"/>
      <c r="U1398" s="1315"/>
      <c r="V1398" s="1315"/>
      <c r="W1398" s="1315"/>
      <c r="X1398" s="1315"/>
      <c r="Y1398" s="1315"/>
    </row>
    <row r="1399" spans="1:25" x14ac:dyDescent="0.2">
      <c r="A1399" s="1730"/>
      <c r="B1399" s="1730"/>
      <c r="C1399" s="1730"/>
      <c r="D1399" s="1730"/>
      <c r="E1399" s="1314"/>
      <c r="R1399" s="1315"/>
      <c r="S1399" s="1315"/>
      <c r="T1399" s="1315"/>
      <c r="U1399" s="1315"/>
      <c r="V1399" s="1315"/>
      <c r="W1399" s="1315"/>
      <c r="X1399" s="1315"/>
      <c r="Y1399" s="1315"/>
    </row>
    <row r="1400" spans="1:25" x14ac:dyDescent="0.2">
      <c r="A1400" s="1730"/>
      <c r="B1400" s="1730"/>
      <c r="C1400" s="1730"/>
      <c r="D1400" s="1730"/>
      <c r="E1400" s="1314"/>
      <c r="R1400" s="1315"/>
      <c r="S1400" s="1315"/>
      <c r="T1400" s="1315"/>
      <c r="U1400" s="1315"/>
      <c r="V1400" s="1315"/>
      <c r="W1400" s="1315"/>
      <c r="X1400" s="1315"/>
      <c r="Y1400" s="1315"/>
    </row>
    <row r="1401" spans="1:25" x14ac:dyDescent="0.2">
      <c r="A1401" s="1730"/>
      <c r="B1401" s="1730"/>
      <c r="C1401" s="1730"/>
      <c r="D1401" s="1730"/>
      <c r="E1401" s="1314"/>
      <c r="R1401" s="1315"/>
      <c r="S1401" s="1315"/>
      <c r="T1401" s="1315"/>
      <c r="U1401" s="1315"/>
      <c r="V1401" s="1315"/>
      <c r="W1401" s="1315"/>
      <c r="X1401" s="1315"/>
      <c r="Y1401" s="1315"/>
    </row>
    <row r="1402" spans="1:25" x14ac:dyDescent="0.2">
      <c r="A1402" s="1730"/>
      <c r="B1402" s="1730"/>
      <c r="C1402" s="1730"/>
      <c r="D1402" s="1730"/>
      <c r="E1402" s="1314"/>
      <c r="R1402" s="1315"/>
      <c r="S1402" s="1315"/>
      <c r="T1402" s="1315"/>
      <c r="U1402" s="1315"/>
      <c r="V1402" s="1315"/>
      <c r="W1402" s="1315"/>
      <c r="X1402" s="1315"/>
      <c r="Y1402" s="1315"/>
    </row>
    <row r="1403" spans="1:25" x14ac:dyDescent="0.2">
      <c r="A1403" s="1730"/>
      <c r="B1403" s="1730"/>
      <c r="C1403" s="1730"/>
      <c r="D1403" s="1730"/>
      <c r="E1403" s="1314"/>
      <c r="R1403" s="1315"/>
      <c r="S1403" s="1315"/>
      <c r="T1403" s="1315"/>
      <c r="U1403" s="1315"/>
      <c r="V1403" s="1315"/>
      <c r="W1403" s="1315"/>
      <c r="X1403" s="1315"/>
      <c r="Y1403" s="1315"/>
    </row>
    <row r="1404" spans="1:25" x14ac:dyDescent="0.2">
      <c r="A1404" s="1730"/>
      <c r="B1404" s="1730"/>
      <c r="C1404" s="1730"/>
      <c r="D1404" s="1730"/>
      <c r="E1404" s="1314"/>
      <c r="R1404" s="1315"/>
      <c r="S1404" s="1315"/>
      <c r="T1404" s="1315"/>
      <c r="U1404" s="1315"/>
      <c r="V1404" s="1315"/>
      <c r="W1404" s="1315"/>
      <c r="X1404" s="1315"/>
      <c r="Y1404" s="1315"/>
    </row>
    <row r="1405" spans="1:25" x14ac:dyDescent="0.2">
      <c r="A1405" s="1730"/>
      <c r="B1405" s="1730"/>
      <c r="C1405" s="1730"/>
      <c r="D1405" s="1730"/>
      <c r="E1405" s="1314"/>
      <c r="R1405" s="1315"/>
      <c r="S1405" s="1315"/>
      <c r="T1405" s="1315"/>
      <c r="U1405" s="1315"/>
      <c r="V1405" s="1315"/>
      <c r="W1405" s="1315"/>
      <c r="X1405" s="1315"/>
      <c r="Y1405" s="1315"/>
    </row>
    <row r="1406" spans="1:25" x14ac:dyDescent="0.2">
      <c r="A1406" s="1730"/>
      <c r="B1406" s="1730"/>
      <c r="C1406" s="1730"/>
      <c r="D1406" s="1730"/>
      <c r="E1406" s="1314"/>
      <c r="R1406" s="1315"/>
      <c r="S1406" s="1315"/>
      <c r="T1406" s="1315"/>
      <c r="U1406" s="1315"/>
      <c r="V1406" s="1315"/>
      <c r="W1406" s="1315"/>
      <c r="X1406" s="1315"/>
      <c r="Y1406" s="1315"/>
    </row>
    <row r="1407" spans="1:25" x14ac:dyDescent="0.2">
      <c r="A1407" s="1730"/>
      <c r="B1407" s="1730"/>
      <c r="C1407" s="1730"/>
      <c r="D1407" s="1730"/>
      <c r="E1407" s="1314"/>
      <c r="R1407" s="1315"/>
      <c r="S1407" s="1315"/>
      <c r="T1407" s="1315"/>
      <c r="U1407" s="1315"/>
      <c r="V1407" s="1315"/>
      <c r="W1407" s="1315"/>
      <c r="X1407" s="1315"/>
      <c r="Y1407" s="1315"/>
    </row>
    <row r="1408" spans="1:25" x14ac:dyDescent="0.2">
      <c r="A1408" s="1730"/>
      <c r="B1408" s="1730"/>
      <c r="C1408" s="1730"/>
      <c r="D1408" s="1730"/>
      <c r="E1408" s="1314"/>
      <c r="R1408" s="1315"/>
      <c r="S1408" s="1315"/>
      <c r="T1408" s="1315"/>
      <c r="U1408" s="1315"/>
      <c r="V1408" s="1315"/>
      <c r="W1408" s="1315"/>
      <c r="X1408" s="1315"/>
      <c r="Y1408" s="1315"/>
    </row>
    <row r="1409" spans="1:25" x14ac:dyDescent="0.2">
      <c r="A1409" s="1730"/>
      <c r="B1409" s="1730"/>
      <c r="C1409" s="1730"/>
      <c r="D1409" s="1730"/>
      <c r="E1409" s="1314"/>
      <c r="R1409" s="1315"/>
      <c r="S1409" s="1315"/>
      <c r="T1409" s="1315"/>
      <c r="U1409" s="1315"/>
      <c r="V1409" s="1315"/>
      <c r="W1409" s="1315"/>
      <c r="X1409" s="1315"/>
      <c r="Y1409" s="1315"/>
    </row>
    <row r="1410" spans="1:25" x14ac:dyDescent="0.2">
      <c r="A1410" s="1730"/>
      <c r="B1410" s="1730"/>
      <c r="C1410" s="1730"/>
      <c r="D1410" s="1730"/>
      <c r="E1410" s="1314"/>
      <c r="R1410" s="1315"/>
      <c r="S1410" s="1315"/>
      <c r="T1410" s="1315"/>
      <c r="U1410" s="1315"/>
      <c r="V1410" s="1315"/>
      <c r="W1410" s="1315"/>
      <c r="X1410" s="1315"/>
      <c r="Y1410" s="1315"/>
    </row>
    <row r="1411" spans="1:25" x14ac:dyDescent="0.2">
      <c r="A1411" s="1730"/>
      <c r="B1411" s="1730"/>
      <c r="C1411" s="1730"/>
      <c r="D1411" s="1730"/>
      <c r="E1411" s="1314"/>
      <c r="R1411" s="1315"/>
      <c r="S1411" s="1315"/>
      <c r="T1411" s="1315"/>
      <c r="U1411" s="1315"/>
      <c r="V1411" s="1315"/>
      <c r="W1411" s="1315"/>
      <c r="X1411" s="1315"/>
      <c r="Y1411" s="1315"/>
    </row>
    <row r="1412" spans="1:25" x14ac:dyDescent="0.2">
      <c r="A1412" s="1730"/>
      <c r="B1412" s="1730"/>
      <c r="C1412" s="1730"/>
      <c r="D1412" s="1730"/>
      <c r="E1412" s="1314"/>
      <c r="R1412" s="1315"/>
      <c r="S1412" s="1315"/>
      <c r="T1412" s="1315"/>
      <c r="U1412" s="1315"/>
      <c r="V1412" s="1315"/>
      <c r="W1412" s="1315"/>
      <c r="X1412" s="1315"/>
      <c r="Y1412" s="1315"/>
    </row>
    <row r="1413" spans="1:25" x14ac:dyDescent="0.2">
      <c r="A1413" s="1730"/>
      <c r="B1413" s="1730"/>
      <c r="C1413" s="1730"/>
      <c r="D1413" s="1730"/>
      <c r="E1413" s="1314"/>
      <c r="R1413" s="1315"/>
      <c r="S1413" s="1315"/>
      <c r="T1413" s="1315"/>
      <c r="U1413" s="1315"/>
      <c r="V1413" s="1315"/>
      <c r="W1413" s="1315"/>
      <c r="X1413" s="1315"/>
      <c r="Y1413" s="1315"/>
    </row>
    <row r="1414" spans="1:25" x14ac:dyDescent="0.2">
      <c r="A1414" s="1730"/>
      <c r="B1414" s="1730"/>
      <c r="C1414" s="1730"/>
      <c r="D1414" s="1730"/>
      <c r="E1414" s="1314"/>
      <c r="R1414" s="1315"/>
      <c r="S1414" s="1315"/>
      <c r="T1414" s="1315"/>
      <c r="U1414" s="1315"/>
      <c r="V1414" s="1315"/>
      <c r="W1414" s="1315"/>
      <c r="X1414" s="1315"/>
      <c r="Y1414" s="1315"/>
    </row>
    <row r="1415" spans="1:25" x14ac:dyDescent="0.2">
      <c r="A1415" s="1730"/>
      <c r="B1415" s="1730"/>
      <c r="C1415" s="1730"/>
      <c r="D1415" s="1730"/>
      <c r="E1415" s="1314"/>
      <c r="R1415" s="1315"/>
      <c r="S1415" s="1315"/>
      <c r="T1415" s="1315"/>
      <c r="U1415" s="1315"/>
      <c r="V1415" s="1315"/>
      <c r="W1415" s="1315"/>
      <c r="X1415" s="1315"/>
      <c r="Y1415" s="1315"/>
    </row>
    <row r="1416" spans="1:25" x14ac:dyDescent="0.2">
      <c r="A1416" s="1730"/>
      <c r="B1416" s="1730"/>
      <c r="C1416" s="1730"/>
      <c r="D1416" s="1730"/>
      <c r="E1416" s="1314"/>
      <c r="R1416" s="1315"/>
      <c r="S1416" s="1315"/>
      <c r="T1416" s="1315"/>
      <c r="U1416" s="1315"/>
      <c r="V1416" s="1315"/>
      <c r="W1416" s="1315"/>
      <c r="X1416" s="1315"/>
      <c r="Y1416" s="1315"/>
    </row>
    <row r="1417" spans="1:25" x14ac:dyDescent="0.2">
      <c r="A1417" s="1730"/>
      <c r="B1417" s="1730"/>
      <c r="C1417" s="1730"/>
      <c r="D1417" s="1730"/>
      <c r="E1417" s="1314"/>
      <c r="R1417" s="1315"/>
      <c r="S1417" s="1315"/>
      <c r="T1417" s="1315"/>
      <c r="U1417" s="1315"/>
      <c r="V1417" s="1315"/>
      <c r="W1417" s="1315"/>
      <c r="X1417" s="1315"/>
      <c r="Y1417" s="1315"/>
    </row>
    <row r="1418" spans="1:25" x14ac:dyDescent="0.2">
      <c r="A1418" s="1730"/>
      <c r="B1418" s="1730"/>
      <c r="C1418" s="1730"/>
      <c r="D1418" s="1730"/>
      <c r="E1418" s="1314"/>
      <c r="R1418" s="1315"/>
      <c r="S1418" s="1315"/>
      <c r="T1418" s="1315"/>
      <c r="U1418" s="1315"/>
      <c r="V1418" s="1315"/>
      <c r="W1418" s="1315"/>
      <c r="X1418" s="1315"/>
      <c r="Y1418" s="1315"/>
    </row>
    <row r="1419" spans="1:25" x14ac:dyDescent="0.2">
      <c r="A1419" s="1730"/>
      <c r="B1419" s="1730"/>
      <c r="C1419" s="1730"/>
      <c r="D1419" s="1730"/>
      <c r="E1419" s="1314"/>
      <c r="R1419" s="1315"/>
      <c r="S1419" s="1315"/>
      <c r="T1419" s="1315"/>
      <c r="U1419" s="1315"/>
      <c r="V1419" s="1315"/>
      <c r="W1419" s="1315"/>
      <c r="X1419" s="1315"/>
      <c r="Y1419" s="1315"/>
    </row>
    <row r="1420" spans="1:25" x14ac:dyDescent="0.2">
      <c r="A1420" s="1730"/>
      <c r="B1420" s="1730"/>
      <c r="C1420" s="1730"/>
      <c r="D1420" s="1730"/>
      <c r="E1420" s="1314"/>
      <c r="R1420" s="1315"/>
      <c r="S1420" s="1315"/>
      <c r="T1420" s="1315"/>
      <c r="U1420" s="1315"/>
      <c r="V1420" s="1315"/>
      <c r="W1420" s="1315"/>
      <c r="X1420" s="1315"/>
      <c r="Y1420" s="1315"/>
    </row>
    <row r="1421" spans="1:25" x14ac:dyDescent="0.2">
      <c r="A1421" s="1730"/>
      <c r="B1421" s="1730"/>
      <c r="C1421" s="1730"/>
      <c r="D1421" s="1730"/>
      <c r="E1421" s="1314"/>
      <c r="R1421" s="1315"/>
      <c r="S1421" s="1315"/>
      <c r="T1421" s="1315"/>
      <c r="U1421" s="1315"/>
      <c r="V1421" s="1315"/>
      <c r="W1421" s="1315"/>
      <c r="X1421" s="1315"/>
      <c r="Y1421" s="1315"/>
    </row>
    <row r="1422" spans="1:25" x14ac:dyDescent="0.2">
      <c r="A1422" s="1730"/>
      <c r="B1422" s="1730"/>
      <c r="C1422" s="1730"/>
      <c r="D1422" s="1730"/>
      <c r="E1422" s="1314"/>
      <c r="R1422" s="1315"/>
      <c r="S1422" s="1315"/>
      <c r="T1422" s="1315"/>
      <c r="U1422" s="1315"/>
      <c r="V1422" s="1315"/>
      <c r="W1422" s="1315"/>
      <c r="X1422" s="1315"/>
      <c r="Y1422" s="1315"/>
    </row>
    <row r="1423" spans="1:25" x14ac:dyDescent="0.2">
      <c r="A1423" s="1730"/>
      <c r="B1423" s="1730"/>
      <c r="C1423" s="1730"/>
      <c r="D1423" s="1730"/>
      <c r="E1423" s="1314"/>
      <c r="R1423" s="1315"/>
      <c r="S1423" s="1315"/>
      <c r="T1423" s="1315"/>
      <c r="U1423" s="1315"/>
      <c r="V1423" s="1315"/>
      <c r="W1423" s="1315"/>
      <c r="X1423" s="1315"/>
      <c r="Y1423" s="1315"/>
    </row>
    <row r="1424" spans="1:25" x14ac:dyDescent="0.2">
      <c r="A1424" s="1730"/>
      <c r="B1424" s="1730"/>
      <c r="C1424" s="1730"/>
      <c r="D1424" s="1730"/>
      <c r="E1424" s="1314"/>
      <c r="R1424" s="1315"/>
      <c r="S1424" s="1315"/>
      <c r="T1424" s="1315"/>
      <c r="U1424" s="1315"/>
      <c r="V1424" s="1315"/>
      <c r="W1424" s="1315"/>
      <c r="X1424" s="1315"/>
      <c r="Y1424" s="1315"/>
    </row>
    <row r="1425" spans="1:25" x14ac:dyDescent="0.2">
      <c r="A1425" s="1730"/>
      <c r="B1425" s="1730"/>
      <c r="C1425" s="1730"/>
      <c r="D1425" s="1730"/>
      <c r="E1425" s="1314"/>
      <c r="R1425" s="1315"/>
      <c r="S1425" s="1315"/>
      <c r="T1425" s="1315"/>
      <c r="U1425" s="1315"/>
      <c r="V1425" s="1315"/>
      <c r="W1425" s="1315"/>
      <c r="X1425" s="1315"/>
      <c r="Y1425" s="1315"/>
    </row>
    <row r="1426" spans="1:25" x14ac:dyDescent="0.2">
      <c r="A1426" s="1730"/>
      <c r="B1426" s="1730"/>
      <c r="C1426" s="1730"/>
      <c r="D1426" s="1730"/>
      <c r="E1426" s="1314"/>
      <c r="R1426" s="1315"/>
      <c r="S1426" s="1315"/>
      <c r="T1426" s="1315"/>
      <c r="U1426" s="1315"/>
      <c r="V1426" s="1315"/>
      <c r="W1426" s="1315"/>
      <c r="X1426" s="1315"/>
      <c r="Y1426" s="1315"/>
    </row>
    <row r="1427" spans="1:25" x14ac:dyDescent="0.2">
      <c r="A1427" s="1730"/>
      <c r="B1427" s="1730"/>
      <c r="C1427" s="1730"/>
      <c r="D1427" s="1730"/>
      <c r="E1427" s="1314"/>
      <c r="R1427" s="1315"/>
      <c r="S1427" s="1315"/>
      <c r="T1427" s="1315"/>
      <c r="U1427" s="1315"/>
      <c r="V1427" s="1315"/>
      <c r="W1427" s="1315"/>
      <c r="X1427" s="1315"/>
      <c r="Y1427" s="1315"/>
    </row>
    <row r="1428" spans="1:25" x14ac:dyDescent="0.2">
      <c r="A1428" s="1730"/>
      <c r="B1428" s="1730"/>
      <c r="C1428" s="1730"/>
      <c r="D1428" s="1730"/>
      <c r="E1428" s="1314"/>
      <c r="R1428" s="1315"/>
      <c r="S1428" s="1315"/>
      <c r="T1428" s="1315"/>
      <c r="U1428" s="1315"/>
      <c r="V1428" s="1315"/>
      <c r="W1428" s="1315"/>
      <c r="X1428" s="1315"/>
      <c r="Y1428" s="1315"/>
    </row>
    <row r="1429" spans="1:25" x14ac:dyDescent="0.2">
      <c r="A1429" s="1730"/>
      <c r="B1429" s="1730"/>
      <c r="C1429" s="1730"/>
      <c r="D1429" s="1730"/>
      <c r="E1429" s="1314"/>
      <c r="R1429" s="1315"/>
      <c r="S1429" s="1315"/>
      <c r="T1429" s="1315"/>
      <c r="U1429" s="1315"/>
      <c r="V1429" s="1315"/>
      <c r="W1429" s="1315"/>
      <c r="X1429" s="1315"/>
      <c r="Y1429" s="1315"/>
    </row>
    <row r="1430" spans="1:25" x14ac:dyDescent="0.2">
      <c r="A1430" s="1730"/>
      <c r="B1430" s="1730"/>
      <c r="C1430" s="1730"/>
      <c r="D1430" s="1730"/>
      <c r="E1430" s="1314"/>
      <c r="R1430" s="1315"/>
      <c r="S1430" s="1315"/>
      <c r="T1430" s="1315"/>
      <c r="U1430" s="1315"/>
      <c r="V1430" s="1315"/>
      <c r="W1430" s="1315"/>
      <c r="X1430" s="1315"/>
      <c r="Y1430" s="1315"/>
    </row>
    <row r="1431" spans="1:25" x14ac:dyDescent="0.2">
      <c r="A1431" s="1730"/>
      <c r="B1431" s="1730"/>
      <c r="C1431" s="1730"/>
      <c r="D1431" s="1730"/>
      <c r="E1431" s="1314"/>
      <c r="R1431" s="1315"/>
      <c r="S1431" s="1315"/>
      <c r="T1431" s="1315"/>
      <c r="U1431" s="1315"/>
      <c r="V1431" s="1315"/>
      <c r="W1431" s="1315"/>
      <c r="X1431" s="1315"/>
      <c r="Y1431" s="1315"/>
    </row>
    <row r="1432" spans="1:25" x14ac:dyDescent="0.2">
      <c r="A1432" s="1730"/>
      <c r="B1432" s="1730"/>
      <c r="C1432" s="1730"/>
      <c r="D1432" s="1730"/>
      <c r="E1432" s="1314"/>
      <c r="R1432" s="1315"/>
      <c r="S1432" s="1315"/>
      <c r="T1432" s="1315"/>
      <c r="U1432" s="1315"/>
      <c r="V1432" s="1315"/>
      <c r="W1432" s="1315"/>
      <c r="X1432" s="1315"/>
      <c r="Y1432" s="1315"/>
    </row>
    <row r="1433" spans="1:25" x14ac:dyDescent="0.2">
      <c r="A1433" s="1730"/>
      <c r="B1433" s="1730"/>
      <c r="C1433" s="1730"/>
      <c r="D1433" s="1730"/>
      <c r="E1433" s="1314"/>
      <c r="R1433" s="1315"/>
      <c r="S1433" s="1315"/>
      <c r="T1433" s="1315"/>
      <c r="U1433" s="1315"/>
      <c r="V1433" s="1315"/>
      <c r="W1433" s="1315"/>
      <c r="X1433" s="1315"/>
      <c r="Y1433" s="1315"/>
    </row>
    <row r="1434" spans="1:25" x14ac:dyDescent="0.2">
      <c r="A1434" s="1730"/>
      <c r="B1434" s="1730"/>
      <c r="C1434" s="1730"/>
      <c r="D1434" s="1730"/>
      <c r="E1434" s="1314"/>
      <c r="R1434" s="1315"/>
      <c r="S1434" s="1315"/>
      <c r="T1434" s="1315"/>
      <c r="U1434" s="1315"/>
      <c r="V1434" s="1315"/>
      <c r="W1434" s="1315"/>
      <c r="X1434" s="1315"/>
      <c r="Y1434" s="1315"/>
    </row>
    <row r="1435" spans="1:25" x14ac:dyDescent="0.2">
      <c r="A1435" s="1730"/>
      <c r="B1435" s="1730"/>
      <c r="C1435" s="1730"/>
      <c r="D1435" s="1730"/>
      <c r="E1435" s="1314"/>
      <c r="R1435" s="1315"/>
      <c r="S1435" s="1315"/>
      <c r="T1435" s="1315"/>
      <c r="U1435" s="1315"/>
      <c r="V1435" s="1315"/>
      <c r="W1435" s="1315"/>
      <c r="X1435" s="1315"/>
      <c r="Y1435" s="1315"/>
    </row>
    <row r="1436" spans="1:25" x14ac:dyDescent="0.2">
      <c r="A1436" s="1730"/>
      <c r="B1436" s="1730"/>
      <c r="C1436" s="1730"/>
      <c r="D1436" s="1730"/>
      <c r="E1436" s="1314"/>
      <c r="R1436" s="1315"/>
      <c r="S1436" s="1315"/>
      <c r="T1436" s="1315"/>
      <c r="U1436" s="1315"/>
      <c r="V1436" s="1315"/>
      <c r="W1436" s="1315"/>
      <c r="X1436" s="1315"/>
      <c r="Y1436" s="1315"/>
    </row>
    <row r="1437" spans="1:25" x14ac:dyDescent="0.2">
      <c r="A1437" s="1730"/>
      <c r="B1437" s="1730"/>
      <c r="C1437" s="1730"/>
      <c r="D1437" s="1730"/>
      <c r="E1437" s="1314"/>
      <c r="R1437" s="1315"/>
      <c r="S1437" s="1315"/>
      <c r="T1437" s="1315"/>
      <c r="U1437" s="1315"/>
      <c r="V1437" s="1315"/>
      <c r="W1437" s="1315"/>
      <c r="X1437" s="1315"/>
      <c r="Y1437" s="1315"/>
    </row>
    <row r="1438" spans="1:25" x14ac:dyDescent="0.2">
      <c r="A1438" s="1730"/>
      <c r="B1438" s="1730"/>
      <c r="C1438" s="1730"/>
      <c r="D1438" s="1730"/>
      <c r="E1438" s="1314"/>
      <c r="R1438" s="1315"/>
      <c r="S1438" s="1315"/>
      <c r="T1438" s="1315"/>
      <c r="U1438" s="1315"/>
      <c r="V1438" s="1315"/>
      <c r="W1438" s="1315"/>
      <c r="X1438" s="1315"/>
      <c r="Y1438" s="1315"/>
    </row>
    <row r="1439" spans="1:25" x14ac:dyDescent="0.2">
      <c r="A1439" s="1730"/>
      <c r="B1439" s="1730"/>
      <c r="C1439" s="1730"/>
      <c r="D1439" s="1730"/>
      <c r="E1439" s="1314"/>
      <c r="R1439" s="1315"/>
      <c r="S1439" s="1315"/>
      <c r="T1439" s="1315"/>
      <c r="U1439" s="1315"/>
      <c r="V1439" s="1315"/>
      <c r="W1439" s="1315"/>
      <c r="X1439" s="1315"/>
      <c r="Y1439" s="1315"/>
    </row>
    <row r="1440" spans="1:25" x14ac:dyDescent="0.2">
      <c r="A1440" s="1730"/>
      <c r="B1440" s="1730"/>
      <c r="C1440" s="1730"/>
      <c r="D1440" s="1730"/>
      <c r="E1440" s="1314"/>
      <c r="R1440" s="1315"/>
      <c r="S1440" s="1315"/>
      <c r="T1440" s="1315"/>
      <c r="U1440" s="1315"/>
      <c r="V1440" s="1315"/>
      <c r="W1440" s="1315"/>
      <c r="X1440" s="1315"/>
      <c r="Y1440" s="1315"/>
    </row>
    <row r="1441" spans="1:25" x14ac:dyDescent="0.2">
      <c r="A1441" s="1730"/>
      <c r="B1441" s="1730"/>
      <c r="C1441" s="1730"/>
      <c r="D1441" s="1730"/>
      <c r="E1441" s="1314"/>
      <c r="R1441" s="1315"/>
      <c r="S1441" s="1315"/>
      <c r="T1441" s="1315"/>
      <c r="U1441" s="1315"/>
      <c r="V1441" s="1315"/>
      <c r="W1441" s="1315"/>
      <c r="X1441" s="1315"/>
      <c r="Y1441" s="1315"/>
    </row>
    <row r="1442" spans="1:25" x14ac:dyDescent="0.2">
      <c r="A1442" s="1730"/>
      <c r="B1442" s="1730"/>
      <c r="C1442" s="1730"/>
      <c r="D1442" s="1730"/>
      <c r="E1442" s="1314"/>
      <c r="R1442" s="1315"/>
      <c r="S1442" s="1315"/>
      <c r="T1442" s="1315"/>
      <c r="U1442" s="1315"/>
      <c r="V1442" s="1315"/>
      <c r="W1442" s="1315"/>
      <c r="X1442" s="1315"/>
      <c r="Y1442" s="1315"/>
    </row>
    <row r="1443" spans="1:25" x14ac:dyDescent="0.2">
      <c r="A1443" s="1730"/>
      <c r="B1443" s="1730"/>
      <c r="C1443" s="1730"/>
      <c r="D1443" s="1730"/>
      <c r="E1443" s="1314"/>
      <c r="R1443" s="1315"/>
      <c r="S1443" s="1315"/>
      <c r="T1443" s="1315"/>
      <c r="U1443" s="1315"/>
      <c r="V1443" s="1315"/>
      <c r="W1443" s="1315"/>
      <c r="X1443" s="1315"/>
      <c r="Y1443" s="1315"/>
    </row>
    <row r="1444" spans="1:25" x14ac:dyDescent="0.2">
      <c r="A1444" s="1730"/>
      <c r="B1444" s="1730"/>
      <c r="C1444" s="1730"/>
      <c r="D1444" s="1730"/>
      <c r="E1444" s="1314"/>
      <c r="R1444" s="1315"/>
      <c r="S1444" s="1315"/>
      <c r="T1444" s="1315"/>
      <c r="U1444" s="1315"/>
      <c r="V1444" s="1315"/>
      <c r="W1444" s="1315"/>
      <c r="X1444" s="1315"/>
      <c r="Y1444" s="1315"/>
    </row>
    <row r="1445" spans="1:25" x14ac:dyDescent="0.2">
      <c r="A1445" s="1730"/>
      <c r="B1445" s="1730"/>
      <c r="C1445" s="1730"/>
      <c r="D1445" s="1730"/>
      <c r="E1445" s="1314"/>
      <c r="R1445" s="1315"/>
      <c r="S1445" s="1315"/>
      <c r="T1445" s="1315"/>
      <c r="U1445" s="1315"/>
      <c r="V1445" s="1315"/>
      <c r="W1445" s="1315"/>
      <c r="X1445" s="1315"/>
      <c r="Y1445" s="1315"/>
    </row>
    <row r="1446" spans="1:25" x14ac:dyDescent="0.2">
      <c r="A1446" s="1730"/>
      <c r="B1446" s="1730"/>
      <c r="C1446" s="1730"/>
      <c r="D1446" s="1730"/>
      <c r="E1446" s="1314"/>
      <c r="R1446" s="1315"/>
      <c r="S1446" s="1315"/>
      <c r="T1446" s="1315"/>
      <c r="U1446" s="1315"/>
      <c r="V1446" s="1315"/>
      <c r="W1446" s="1315"/>
      <c r="X1446" s="1315"/>
      <c r="Y1446" s="1315"/>
    </row>
    <row r="1447" spans="1:25" x14ac:dyDescent="0.2">
      <c r="A1447" s="1730"/>
      <c r="B1447" s="1730"/>
      <c r="C1447" s="1730"/>
      <c r="D1447" s="1730"/>
      <c r="E1447" s="1314"/>
      <c r="R1447" s="1315"/>
      <c r="S1447" s="1315"/>
      <c r="T1447" s="1315"/>
      <c r="U1447" s="1315"/>
      <c r="V1447" s="1315"/>
      <c r="W1447" s="1315"/>
      <c r="X1447" s="1315"/>
      <c r="Y1447" s="1315"/>
    </row>
    <row r="1448" spans="1:25" x14ac:dyDescent="0.2">
      <c r="A1448" s="1730"/>
      <c r="B1448" s="1730"/>
      <c r="C1448" s="1730"/>
      <c r="D1448" s="1730"/>
      <c r="E1448" s="1314"/>
      <c r="R1448" s="1315"/>
      <c r="S1448" s="1315"/>
      <c r="T1448" s="1315"/>
      <c r="U1448" s="1315"/>
      <c r="V1448" s="1315"/>
      <c r="W1448" s="1315"/>
      <c r="X1448" s="1315"/>
      <c r="Y1448" s="1315"/>
    </row>
    <row r="1449" spans="1:25" x14ac:dyDescent="0.2">
      <c r="A1449" s="1730"/>
      <c r="B1449" s="1730"/>
      <c r="C1449" s="1730"/>
      <c r="D1449" s="1730"/>
      <c r="E1449" s="1314"/>
      <c r="R1449" s="1315"/>
      <c r="S1449" s="1315"/>
      <c r="T1449" s="1315"/>
      <c r="U1449" s="1315"/>
      <c r="V1449" s="1315"/>
      <c r="W1449" s="1315"/>
      <c r="X1449" s="1315"/>
      <c r="Y1449" s="1315"/>
    </row>
    <row r="1450" spans="1:25" x14ac:dyDescent="0.2">
      <c r="A1450" s="1730"/>
      <c r="B1450" s="1730"/>
      <c r="C1450" s="1730"/>
      <c r="D1450" s="1730"/>
      <c r="E1450" s="1314"/>
      <c r="R1450" s="1315"/>
      <c r="S1450" s="1315"/>
      <c r="T1450" s="1315"/>
      <c r="U1450" s="1315"/>
      <c r="V1450" s="1315"/>
      <c r="W1450" s="1315"/>
      <c r="X1450" s="1315"/>
      <c r="Y1450" s="1315"/>
    </row>
    <row r="1451" spans="1:25" x14ac:dyDescent="0.2">
      <c r="A1451" s="1730"/>
      <c r="B1451" s="1730"/>
      <c r="C1451" s="1730"/>
      <c r="D1451" s="1730"/>
      <c r="E1451" s="1314"/>
      <c r="R1451" s="1315"/>
      <c r="S1451" s="1315"/>
      <c r="T1451" s="1315"/>
      <c r="U1451" s="1315"/>
      <c r="V1451" s="1315"/>
      <c r="W1451" s="1315"/>
      <c r="X1451" s="1315"/>
      <c r="Y1451" s="1315"/>
    </row>
    <row r="1452" spans="1:25" x14ac:dyDescent="0.2">
      <c r="A1452" s="1730"/>
      <c r="B1452" s="1730"/>
      <c r="C1452" s="1730"/>
      <c r="D1452" s="1730"/>
      <c r="E1452" s="1314"/>
      <c r="R1452" s="1315"/>
      <c r="S1452" s="1315"/>
      <c r="T1452" s="1315"/>
      <c r="U1452" s="1315"/>
      <c r="V1452" s="1315"/>
      <c r="W1452" s="1315"/>
      <c r="X1452" s="1315"/>
      <c r="Y1452" s="1315"/>
    </row>
    <row r="1453" spans="1:25" x14ac:dyDescent="0.2">
      <c r="A1453" s="1730"/>
      <c r="B1453" s="1730"/>
      <c r="C1453" s="1730"/>
      <c r="D1453" s="1730"/>
      <c r="E1453" s="1314"/>
      <c r="R1453" s="1315"/>
      <c r="S1453" s="1315"/>
      <c r="T1453" s="1315"/>
      <c r="U1453" s="1315"/>
      <c r="V1453" s="1315"/>
      <c r="W1453" s="1315"/>
      <c r="X1453" s="1315"/>
      <c r="Y1453" s="1315"/>
    </row>
    <row r="1454" spans="1:25" x14ac:dyDescent="0.2">
      <c r="A1454" s="1730"/>
      <c r="B1454" s="1730"/>
      <c r="C1454" s="1730"/>
      <c r="D1454" s="1730"/>
      <c r="E1454" s="1314"/>
      <c r="R1454" s="1315"/>
      <c r="S1454" s="1315"/>
      <c r="T1454" s="1315"/>
      <c r="U1454" s="1315"/>
      <c r="V1454" s="1315"/>
      <c r="W1454" s="1315"/>
      <c r="X1454" s="1315"/>
      <c r="Y1454" s="1315"/>
    </row>
    <row r="1455" spans="1:25" x14ac:dyDescent="0.2">
      <c r="A1455" s="1730"/>
      <c r="B1455" s="1730"/>
      <c r="C1455" s="1730"/>
      <c r="D1455" s="1730"/>
      <c r="E1455" s="1314"/>
      <c r="R1455" s="1315"/>
      <c r="S1455" s="1315"/>
      <c r="T1455" s="1315"/>
      <c r="U1455" s="1315"/>
      <c r="V1455" s="1315"/>
      <c r="W1455" s="1315"/>
      <c r="X1455" s="1315"/>
      <c r="Y1455" s="1315"/>
    </row>
    <row r="1456" spans="1:25" x14ac:dyDescent="0.2">
      <c r="A1456" s="1730"/>
      <c r="B1456" s="1730"/>
      <c r="C1456" s="1730"/>
      <c r="D1456" s="1730"/>
      <c r="E1456" s="1314"/>
      <c r="R1456" s="1315"/>
      <c r="S1456" s="1315"/>
      <c r="T1456" s="1315"/>
      <c r="U1456" s="1315"/>
      <c r="V1456" s="1315"/>
      <c r="W1456" s="1315"/>
      <c r="X1456" s="1315"/>
      <c r="Y1456" s="1315"/>
    </row>
    <row r="1457" spans="1:25" x14ac:dyDescent="0.2">
      <c r="A1457" s="1730"/>
      <c r="B1457" s="1730"/>
      <c r="C1457" s="1730"/>
      <c r="D1457" s="1730"/>
      <c r="E1457" s="1314"/>
      <c r="R1457" s="1315"/>
      <c r="S1457" s="1315"/>
      <c r="T1457" s="1315"/>
      <c r="U1457" s="1315"/>
      <c r="V1457" s="1315"/>
      <c r="W1457" s="1315"/>
      <c r="X1457" s="1315"/>
      <c r="Y1457" s="1315"/>
    </row>
    <row r="1458" spans="1:25" x14ac:dyDescent="0.2">
      <c r="A1458" s="1730"/>
      <c r="B1458" s="1730"/>
      <c r="C1458" s="1730"/>
      <c r="D1458" s="1730"/>
      <c r="E1458" s="1314"/>
      <c r="R1458" s="1315"/>
      <c r="S1458" s="1315"/>
      <c r="T1458" s="1315"/>
      <c r="U1458" s="1315"/>
      <c r="V1458" s="1315"/>
      <c r="W1458" s="1315"/>
      <c r="X1458" s="1315"/>
      <c r="Y1458" s="1315"/>
    </row>
    <row r="1459" spans="1:25" x14ac:dyDescent="0.2">
      <c r="A1459" s="1730"/>
      <c r="B1459" s="1730"/>
      <c r="C1459" s="1730"/>
      <c r="D1459" s="1730"/>
      <c r="E1459" s="1314"/>
      <c r="R1459" s="1315"/>
      <c r="S1459" s="1315"/>
      <c r="T1459" s="1315"/>
      <c r="U1459" s="1315"/>
      <c r="V1459" s="1315"/>
      <c r="W1459" s="1315"/>
      <c r="X1459" s="1315"/>
      <c r="Y1459" s="1315"/>
    </row>
    <row r="1460" spans="1:25" x14ac:dyDescent="0.2">
      <c r="A1460" s="1730"/>
      <c r="B1460" s="1730"/>
      <c r="C1460" s="1730"/>
      <c r="D1460" s="1730"/>
      <c r="E1460" s="1314"/>
      <c r="R1460" s="1315"/>
      <c r="S1460" s="1315"/>
      <c r="T1460" s="1315"/>
      <c r="U1460" s="1315"/>
      <c r="V1460" s="1315"/>
      <c r="W1460" s="1315"/>
      <c r="X1460" s="1315"/>
      <c r="Y1460" s="1315"/>
    </row>
    <row r="1461" spans="1:25" x14ac:dyDescent="0.2">
      <c r="A1461" s="1730"/>
      <c r="B1461" s="1730"/>
      <c r="C1461" s="1730"/>
      <c r="D1461" s="1730"/>
      <c r="E1461" s="1314"/>
      <c r="R1461" s="1315"/>
      <c r="S1461" s="1315"/>
      <c r="T1461" s="1315"/>
      <c r="U1461" s="1315"/>
      <c r="V1461" s="1315"/>
      <c r="W1461" s="1315"/>
      <c r="X1461" s="1315"/>
      <c r="Y1461" s="1315"/>
    </row>
    <row r="1462" spans="1:25" x14ac:dyDescent="0.2">
      <c r="A1462" s="1730"/>
      <c r="B1462" s="1730"/>
      <c r="C1462" s="1730"/>
      <c r="D1462" s="1730"/>
      <c r="E1462" s="1314"/>
      <c r="R1462" s="1315"/>
      <c r="S1462" s="1315"/>
      <c r="T1462" s="1315"/>
      <c r="U1462" s="1315"/>
      <c r="V1462" s="1315"/>
      <c r="W1462" s="1315"/>
      <c r="X1462" s="1315"/>
      <c r="Y1462" s="1315"/>
    </row>
    <row r="1463" spans="1:25" x14ac:dyDescent="0.2">
      <c r="A1463" s="1730"/>
      <c r="B1463" s="1730"/>
      <c r="C1463" s="1730"/>
      <c r="D1463" s="1730"/>
      <c r="E1463" s="1314"/>
      <c r="R1463" s="1315"/>
      <c r="S1463" s="1315"/>
      <c r="T1463" s="1315"/>
      <c r="U1463" s="1315"/>
      <c r="V1463" s="1315"/>
      <c r="W1463" s="1315"/>
      <c r="X1463" s="1315"/>
      <c r="Y1463" s="1315"/>
    </row>
    <row r="1464" spans="1:25" x14ac:dyDescent="0.2">
      <c r="A1464" s="1730"/>
      <c r="B1464" s="1730"/>
      <c r="C1464" s="1730"/>
      <c r="D1464" s="1730"/>
      <c r="E1464" s="1314"/>
      <c r="R1464" s="1315"/>
      <c r="S1464" s="1315"/>
      <c r="T1464" s="1315"/>
      <c r="U1464" s="1315"/>
      <c r="V1464" s="1315"/>
      <c r="W1464" s="1315"/>
      <c r="X1464" s="1315"/>
      <c r="Y1464" s="1315"/>
    </row>
    <row r="1465" spans="1:25" x14ac:dyDescent="0.2">
      <c r="A1465" s="1730"/>
      <c r="B1465" s="1730"/>
      <c r="C1465" s="1730"/>
      <c r="D1465" s="1730"/>
      <c r="E1465" s="1314"/>
      <c r="R1465" s="1315"/>
      <c r="S1465" s="1315"/>
      <c r="T1465" s="1315"/>
      <c r="U1465" s="1315"/>
      <c r="V1465" s="1315"/>
      <c r="W1465" s="1315"/>
      <c r="X1465" s="1315"/>
      <c r="Y1465" s="1315"/>
    </row>
    <row r="1466" spans="1:25" x14ac:dyDescent="0.2">
      <c r="A1466" s="1730"/>
      <c r="B1466" s="1730"/>
      <c r="C1466" s="1730"/>
      <c r="D1466" s="1730"/>
      <c r="E1466" s="1314"/>
      <c r="R1466" s="1315"/>
      <c r="S1466" s="1315"/>
      <c r="T1466" s="1315"/>
      <c r="U1466" s="1315"/>
      <c r="V1466" s="1315"/>
      <c r="W1466" s="1315"/>
      <c r="X1466" s="1315"/>
      <c r="Y1466" s="1315"/>
    </row>
    <row r="1467" spans="1:25" x14ac:dyDescent="0.2">
      <c r="A1467" s="1730"/>
      <c r="B1467" s="1730"/>
      <c r="C1467" s="1730"/>
      <c r="D1467" s="1730"/>
      <c r="E1467" s="1314"/>
      <c r="R1467" s="1315"/>
      <c r="S1467" s="1315"/>
      <c r="T1467" s="1315"/>
      <c r="U1467" s="1315"/>
      <c r="V1467" s="1315"/>
      <c r="W1467" s="1315"/>
      <c r="X1467" s="1315"/>
      <c r="Y1467" s="1315"/>
    </row>
    <row r="1468" spans="1:25" x14ac:dyDescent="0.2">
      <c r="A1468" s="1730"/>
      <c r="B1468" s="1730"/>
      <c r="C1468" s="1730"/>
      <c r="D1468" s="1730"/>
      <c r="E1468" s="1314"/>
      <c r="R1468" s="1315"/>
      <c r="S1468" s="1315"/>
      <c r="T1468" s="1315"/>
      <c r="U1468" s="1315"/>
      <c r="V1468" s="1315"/>
      <c r="W1468" s="1315"/>
      <c r="X1468" s="1315"/>
      <c r="Y1468" s="1315"/>
    </row>
    <row r="1469" spans="1:25" x14ac:dyDescent="0.2">
      <c r="A1469" s="1730"/>
      <c r="B1469" s="1730"/>
      <c r="C1469" s="1730"/>
      <c r="D1469" s="1730"/>
      <c r="E1469" s="1314"/>
      <c r="R1469" s="1315"/>
      <c r="S1469" s="1315"/>
      <c r="T1469" s="1315"/>
      <c r="U1469" s="1315"/>
      <c r="V1469" s="1315"/>
      <c r="W1469" s="1315"/>
      <c r="X1469" s="1315"/>
      <c r="Y1469" s="1315"/>
    </row>
    <row r="1470" spans="1:25" x14ac:dyDescent="0.2">
      <c r="A1470" s="1730"/>
      <c r="B1470" s="1730"/>
      <c r="C1470" s="1730"/>
      <c r="D1470" s="1730"/>
      <c r="E1470" s="1314"/>
      <c r="R1470" s="1315"/>
      <c r="S1470" s="1315"/>
      <c r="T1470" s="1315"/>
      <c r="U1470" s="1315"/>
      <c r="V1470" s="1315"/>
      <c r="W1470" s="1315"/>
      <c r="X1470" s="1315"/>
      <c r="Y1470" s="1315"/>
    </row>
    <row r="1471" spans="1:25" x14ac:dyDescent="0.2">
      <c r="A1471" s="1730"/>
      <c r="B1471" s="1730"/>
      <c r="C1471" s="1730"/>
      <c r="D1471" s="1730"/>
      <c r="E1471" s="1314"/>
      <c r="R1471" s="1315"/>
      <c r="S1471" s="1315"/>
      <c r="T1471" s="1315"/>
      <c r="U1471" s="1315"/>
      <c r="V1471" s="1315"/>
      <c r="W1471" s="1315"/>
      <c r="X1471" s="1315"/>
      <c r="Y1471" s="1315"/>
    </row>
    <row r="1472" spans="1:25" x14ac:dyDescent="0.2">
      <c r="A1472" s="1730"/>
      <c r="B1472" s="1730"/>
      <c r="C1472" s="1730"/>
      <c r="D1472" s="1730"/>
      <c r="E1472" s="1314"/>
      <c r="R1472" s="1315"/>
      <c r="S1472" s="1315"/>
      <c r="T1472" s="1315"/>
      <c r="U1472" s="1315"/>
      <c r="V1472" s="1315"/>
      <c r="W1472" s="1315"/>
      <c r="X1472" s="1315"/>
      <c r="Y1472" s="1315"/>
    </row>
    <row r="1473" spans="1:25" x14ac:dyDescent="0.2">
      <c r="A1473" s="1730"/>
      <c r="B1473" s="1730"/>
      <c r="C1473" s="1730"/>
      <c r="D1473" s="1730"/>
      <c r="E1473" s="1314"/>
      <c r="R1473" s="1315"/>
      <c r="S1473" s="1315"/>
      <c r="T1473" s="1315"/>
      <c r="U1473" s="1315"/>
      <c r="V1473" s="1315"/>
      <c r="W1473" s="1315"/>
      <c r="X1473" s="1315"/>
      <c r="Y1473" s="1315"/>
    </row>
    <row r="1474" spans="1:25" x14ac:dyDescent="0.2">
      <c r="A1474" s="1730"/>
      <c r="B1474" s="1730"/>
      <c r="C1474" s="1730"/>
      <c r="D1474" s="1730"/>
      <c r="E1474" s="1314"/>
      <c r="R1474" s="1315"/>
      <c r="S1474" s="1315"/>
      <c r="T1474" s="1315"/>
      <c r="U1474" s="1315"/>
      <c r="V1474" s="1315"/>
      <c r="W1474" s="1315"/>
      <c r="X1474" s="1315"/>
      <c r="Y1474" s="1315"/>
    </row>
    <row r="1475" spans="1:25" x14ac:dyDescent="0.2">
      <c r="A1475" s="1730"/>
      <c r="B1475" s="1730"/>
      <c r="C1475" s="1730"/>
      <c r="D1475" s="1730"/>
      <c r="E1475" s="1314"/>
      <c r="R1475" s="1315"/>
      <c r="S1475" s="1315"/>
      <c r="T1475" s="1315"/>
      <c r="U1475" s="1315"/>
      <c r="V1475" s="1315"/>
      <c r="W1475" s="1315"/>
      <c r="X1475" s="1315"/>
      <c r="Y1475" s="1315"/>
    </row>
    <row r="1476" spans="1:25" x14ac:dyDescent="0.2">
      <c r="A1476" s="1730"/>
      <c r="B1476" s="1730"/>
      <c r="C1476" s="1730"/>
      <c r="D1476" s="1730"/>
      <c r="E1476" s="1314"/>
      <c r="R1476" s="1315"/>
      <c r="S1476" s="1315"/>
      <c r="T1476" s="1315"/>
      <c r="U1476" s="1315"/>
      <c r="V1476" s="1315"/>
      <c r="W1476" s="1315"/>
      <c r="X1476" s="1315"/>
      <c r="Y1476" s="1315"/>
    </row>
    <row r="1477" spans="1:25" x14ac:dyDescent="0.2">
      <c r="A1477" s="1730"/>
      <c r="B1477" s="1730"/>
      <c r="C1477" s="1730"/>
      <c r="D1477" s="1730"/>
      <c r="E1477" s="1314"/>
      <c r="R1477" s="1315"/>
      <c r="S1477" s="1315"/>
      <c r="T1477" s="1315"/>
      <c r="U1477" s="1315"/>
      <c r="V1477" s="1315"/>
      <c r="W1477" s="1315"/>
      <c r="X1477" s="1315"/>
      <c r="Y1477" s="1315"/>
    </row>
    <row r="1478" spans="1:25" x14ac:dyDescent="0.2">
      <c r="A1478" s="1730"/>
      <c r="B1478" s="1730"/>
      <c r="C1478" s="1730"/>
      <c r="D1478" s="1730"/>
      <c r="E1478" s="1314"/>
      <c r="R1478" s="1315"/>
      <c r="S1478" s="1315"/>
      <c r="T1478" s="1315"/>
      <c r="U1478" s="1315"/>
      <c r="V1478" s="1315"/>
      <c r="W1478" s="1315"/>
      <c r="X1478" s="1315"/>
      <c r="Y1478" s="1315"/>
    </row>
    <row r="1479" spans="1:25" x14ac:dyDescent="0.2">
      <c r="A1479" s="1730"/>
      <c r="B1479" s="1730"/>
      <c r="C1479" s="1730"/>
      <c r="D1479" s="1730"/>
      <c r="E1479" s="1314"/>
      <c r="R1479" s="1315"/>
      <c r="S1479" s="1315"/>
      <c r="T1479" s="1315"/>
      <c r="U1479" s="1315"/>
      <c r="V1479" s="1315"/>
      <c r="W1479" s="1315"/>
      <c r="X1479" s="1315"/>
      <c r="Y1479" s="1315"/>
    </row>
    <row r="1480" spans="1:25" x14ac:dyDescent="0.2">
      <c r="A1480" s="1730"/>
      <c r="B1480" s="1730"/>
      <c r="C1480" s="1730"/>
      <c r="D1480" s="1730"/>
      <c r="E1480" s="1314"/>
      <c r="R1480" s="1315"/>
      <c r="S1480" s="1315"/>
      <c r="T1480" s="1315"/>
      <c r="U1480" s="1315"/>
      <c r="V1480" s="1315"/>
      <c r="W1480" s="1315"/>
      <c r="X1480" s="1315"/>
      <c r="Y1480" s="1315"/>
    </row>
    <row r="1481" spans="1:25" x14ac:dyDescent="0.2">
      <c r="A1481" s="1730"/>
      <c r="B1481" s="1730"/>
      <c r="C1481" s="1730"/>
      <c r="D1481" s="1730"/>
      <c r="E1481" s="1314"/>
      <c r="R1481" s="1315"/>
      <c r="S1481" s="1315"/>
      <c r="T1481" s="1315"/>
      <c r="U1481" s="1315"/>
      <c r="V1481" s="1315"/>
      <c r="W1481" s="1315"/>
      <c r="X1481" s="1315"/>
      <c r="Y1481" s="1315"/>
    </row>
    <row r="1482" spans="1:25" x14ac:dyDescent="0.2">
      <c r="A1482" s="1730"/>
      <c r="B1482" s="1730"/>
      <c r="C1482" s="1730"/>
      <c r="D1482" s="1730"/>
      <c r="E1482" s="1314"/>
      <c r="R1482" s="1315"/>
      <c r="S1482" s="1315"/>
      <c r="T1482" s="1315"/>
      <c r="U1482" s="1315"/>
      <c r="V1482" s="1315"/>
      <c r="W1482" s="1315"/>
      <c r="X1482" s="1315"/>
      <c r="Y1482" s="1315"/>
    </row>
    <row r="1483" spans="1:25" x14ac:dyDescent="0.2">
      <c r="A1483" s="1730"/>
      <c r="B1483" s="1730"/>
      <c r="C1483" s="1730"/>
      <c r="D1483" s="1730"/>
      <c r="E1483" s="1314"/>
      <c r="R1483" s="1315"/>
      <c r="S1483" s="1315"/>
      <c r="T1483" s="1315"/>
      <c r="U1483" s="1315"/>
      <c r="V1483" s="1315"/>
      <c r="W1483" s="1315"/>
      <c r="X1483" s="1315"/>
      <c r="Y1483" s="1315"/>
    </row>
    <row r="1484" spans="1:25" x14ac:dyDescent="0.2">
      <c r="A1484" s="1730"/>
      <c r="B1484" s="1730"/>
      <c r="C1484" s="1730"/>
      <c r="D1484" s="1730"/>
      <c r="E1484" s="1314"/>
      <c r="R1484" s="1315"/>
      <c r="S1484" s="1315"/>
      <c r="T1484" s="1315"/>
      <c r="U1484" s="1315"/>
      <c r="V1484" s="1315"/>
      <c r="W1484" s="1315"/>
      <c r="X1484" s="1315"/>
      <c r="Y1484" s="1315"/>
    </row>
    <row r="1485" spans="1:25" x14ac:dyDescent="0.2">
      <c r="A1485" s="1730"/>
      <c r="B1485" s="1730"/>
      <c r="C1485" s="1730"/>
      <c r="D1485" s="1730"/>
      <c r="E1485" s="1314"/>
      <c r="R1485" s="1315"/>
      <c r="S1485" s="1315"/>
      <c r="T1485" s="1315"/>
      <c r="U1485" s="1315"/>
      <c r="V1485" s="1315"/>
      <c r="W1485" s="1315"/>
      <c r="X1485" s="1315"/>
      <c r="Y1485" s="1315"/>
    </row>
    <row r="1486" spans="1:25" x14ac:dyDescent="0.2">
      <c r="A1486" s="1730"/>
      <c r="B1486" s="1730"/>
      <c r="C1486" s="1730"/>
      <c r="D1486" s="1730"/>
      <c r="E1486" s="1314"/>
      <c r="R1486" s="1315"/>
      <c r="S1486" s="1315"/>
      <c r="T1486" s="1315"/>
      <c r="U1486" s="1315"/>
      <c r="V1486" s="1315"/>
      <c r="W1486" s="1315"/>
      <c r="X1486" s="1315"/>
      <c r="Y1486" s="1315"/>
    </row>
    <row r="1487" spans="1:25" x14ac:dyDescent="0.2">
      <c r="A1487" s="1730"/>
      <c r="B1487" s="1730"/>
      <c r="C1487" s="1730"/>
      <c r="D1487" s="1730"/>
      <c r="E1487" s="1314"/>
      <c r="R1487" s="1315"/>
      <c r="S1487" s="1315"/>
      <c r="T1487" s="1315"/>
      <c r="U1487" s="1315"/>
      <c r="V1487" s="1315"/>
      <c r="W1487" s="1315"/>
      <c r="X1487" s="1315"/>
      <c r="Y1487" s="1315"/>
    </row>
    <row r="1488" spans="1:25" x14ac:dyDescent="0.2">
      <c r="A1488" s="1730"/>
      <c r="B1488" s="1730"/>
      <c r="C1488" s="1730"/>
      <c r="D1488" s="1730"/>
      <c r="E1488" s="1314"/>
      <c r="R1488" s="1315"/>
      <c r="S1488" s="1315"/>
      <c r="T1488" s="1315"/>
      <c r="U1488" s="1315"/>
      <c r="V1488" s="1315"/>
      <c r="W1488" s="1315"/>
      <c r="X1488" s="1315"/>
      <c r="Y1488" s="1315"/>
    </row>
    <row r="1489" spans="1:25" x14ac:dyDescent="0.2">
      <c r="A1489" s="1730"/>
      <c r="B1489" s="1730"/>
      <c r="C1489" s="1730"/>
      <c r="D1489" s="1730"/>
      <c r="E1489" s="1314"/>
      <c r="R1489" s="1315"/>
      <c r="S1489" s="1315"/>
      <c r="T1489" s="1315"/>
      <c r="U1489" s="1315"/>
      <c r="V1489" s="1315"/>
      <c r="W1489" s="1315"/>
      <c r="X1489" s="1315"/>
      <c r="Y1489" s="1315"/>
    </row>
    <row r="1490" spans="1:25" x14ac:dyDescent="0.2">
      <c r="A1490" s="1730"/>
      <c r="B1490" s="1730"/>
      <c r="C1490" s="1730"/>
      <c r="D1490" s="1730"/>
      <c r="E1490" s="1314"/>
      <c r="R1490" s="1315"/>
      <c r="S1490" s="1315"/>
      <c r="T1490" s="1315"/>
      <c r="U1490" s="1315"/>
      <c r="V1490" s="1315"/>
      <c r="W1490" s="1315"/>
      <c r="X1490" s="1315"/>
      <c r="Y1490" s="1315"/>
    </row>
    <row r="1491" spans="1:25" x14ac:dyDescent="0.2">
      <c r="A1491" s="1730"/>
      <c r="B1491" s="1730"/>
      <c r="C1491" s="1730"/>
      <c r="D1491" s="1730"/>
      <c r="E1491" s="1314"/>
      <c r="R1491" s="1315"/>
      <c r="S1491" s="1315"/>
      <c r="T1491" s="1315"/>
      <c r="U1491" s="1315"/>
      <c r="V1491" s="1315"/>
      <c r="W1491" s="1315"/>
      <c r="X1491" s="1315"/>
      <c r="Y1491" s="1315"/>
    </row>
    <row r="1492" spans="1:25" x14ac:dyDescent="0.2">
      <c r="A1492" s="1730"/>
      <c r="B1492" s="1730"/>
      <c r="C1492" s="1730"/>
      <c r="D1492" s="1730"/>
      <c r="E1492" s="1314"/>
      <c r="R1492" s="1315"/>
      <c r="S1492" s="1315"/>
      <c r="T1492" s="1315"/>
      <c r="U1492" s="1315"/>
      <c r="V1492" s="1315"/>
      <c r="W1492" s="1315"/>
      <c r="X1492" s="1315"/>
      <c r="Y1492" s="1315"/>
    </row>
    <row r="1493" spans="1:25" x14ac:dyDescent="0.2">
      <c r="A1493" s="1730"/>
      <c r="B1493" s="1730"/>
      <c r="C1493" s="1730"/>
      <c r="D1493" s="1730"/>
      <c r="E1493" s="1314"/>
      <c r="R1493" s="1315"/>
      <c r="S1493" s="1315"/>
      <c r="T1493" s="1315"/>
      <c r="U1493" s="1315"/>
      <c r="V1493" s="1315"/>
      <c r="W1493" s="1315"/>
      <c r="X1493" s="1315"/>
      <c r="Y1493" s="1315"/>
    </row>
    <row r="1494" spans="1:25" x14ac:dyDescent="0.2">
      <c r="A1494" s="1730"/>
      <c r="B1494" s="1730"/>
      <c r="C1494" s="1730"/>
      <c r="D1494" s="1730"/>
      <c r="E1494" s="1314"/>
      <c r="R1494" s="1315"/>
      <c r="S1494" s="1315"/>
      <c r="T1494" s="1315"/>
      <c r="U1494" s="1315"/>
      <c r="V1494" s="1315"/>
      <c r="W1494" s="1315"/>
      <c r="X1494" s="1315"/>
      <c r="Y1494" s="1315"/>
    </row>
    <row r="1495" spans="1:25" x14ac:dyDescent="0.2">
      <c r="A1495" s="1730"/>
      <c r="B1495" s="1730"/>
      <c r="C1495" s="1730"/>
      <c r="D1495" s="1730"/>
      <c r="E1495" s="1314"/>
      <c r="R1495" s="1315"/>
      <c r="S1495" s="1315"/>
      <c r="T1495" s="1315"/>
      <c r="U1495" s="1315"/>
      <c r="V1495" s="1315"/>
      <c r="W1495" s="1315"/>
      <c r="X1495" s="1315"/>
      <c r="Y1495" s="1315"/>
    </row>
    <row r="1496" spans="1:25" x14ac:dyDescent="0.2">
      <c r="A1496" s="1730"/>
      <c r="B1496" s="1730"/>
      <c r="C1496" s="1730"/>
      <c r="D1496" s="1730"/>
      <c r="E1496" s="1314"/>
      <c r="R1496" s="1315"/>
      <c r="S1496" s="1315"/>
      <c r="T1496" s="1315"/>
      <c r="U1496" s="1315"/>
      <c r="V1496" s="1315"/>
      <c r="W1496" s="1315"/>
      <c r="X1496" s="1315"/>
      <c r="Y1496" s="1315"/>
    </row>
    <row r="1497" spans="1:25" x14ac:dyDescent="0.2">
      <c r="A1497" s="1730"/>
      <c r="B1497" s="1730"/>
      <c r="C1497" s="1730"/>
      <c r="D1497" s="1730"/>
      <c r="E1497" s="1314"/>
      <c r="R1497" s="1315"/>
      <c r="S1497" s="1315"/>
      <c r="T1497" s="1315"/>
      <c r="U1497" s="1315"/>
      <c r="V1497" s="1315"/>
      <c r="W1497" s="1315"/>
      <c r="X1497" s="1315"/>
      <c r="Y1497" s="1315"/>
    </row>
    <row r="1498" spans="1:25" x14ac:dyDescent="0.2">
      <c r="A1498" s="1730"/>
      <c r="B1498" s="1730"/>
      <c r="C1498" s="1730"/>
      <c r="D1498" s="1730"/>
      <c r="E1498" s="1314"/>
      <c r="R1498" s="1315"/>
      <c r="S1498" s="1315"/>
      <c r="T1498" s="1315"/>
      <c r="U1498" s="1315"/>
      <c r="V1498" s="1315"/>
      <c r="W1498" s="1315"/>
      <c r="X1498" s="1315"/>
      <c r="Y1498" s="1315"/>
    </row>
    <row r="1499" spans="1:25" x14ac:dyDescent="0.2">
      <c r="A1499" s="1730"/>
      <c r="B1499" s="1730"/>
      <c r="C1499" s="1730"/>
      <c r="D1499" s="1730"/>
      <c r="E1499" s="1314"/>
      <c r="R1499" s="1315"/>
      <c r="S1499" s="1315"/>
      <c r="T1499" s="1315"/>
      <c r="U1499" s="1315"/>
      <c r="V1499" s="1315"/>
      <c r="W1499" s="1315"/>
      <c r="X1499" s="1315"/>
      <c r="Y1499" s="1315"/>
    </row>
    <row r="1500" spans="1:25" x14ac:dyDescent="0.2">
      <c r="A1500" s="1730"/>
      <c r="B1500" s="1730"/>
      <c r="C1500" s="1730"/>
      <c r="D1500" s="1730"/>
      <c r="E1500" s="1314"/>
      <c r="R1500" s="1315"/>
      <c r="S1500" s="1315"/>
      <c r="T1500" s="1315"/>
      <c r="U1500" s="1315"/>
      <c r="V1500" s="1315"/>
      <c r="W1500" s="1315"/>
      <c r="X1500" s="1315"/>
      <c r="Y1500" s="1315"/>
    </row>
    <row r="1501" spans="1:25" x14ac:dyDescent="0.2">
      <c r="A1501" s="1730"/>
      <c r="B1501" s="1730"/>
      <c r="C1501" s="1730"/>
      <c r="D1501" s="1730"/>
      <c r="E1501" s="1314"/>
      <c r="R1501" s="1315"/>
      <c r="S1501" s="1315"/>
      <c r="T1501" s="1315"/>
      <c r="U1501" s="1315"/>
      <c r="V1501" s="1315"/>
      <c r="W1501" s="1315"/>
      <c r="X1501" s="1315"/>
      <c r="Y1501" s="1315"/>
    </row>
    <row r="1502" spans="1:25" x14ac:dyDescent="0.2">
      <c r="A1502" s="1730"/>
      <c r="B1502" s="1730"/>
      <c r="C1502" s="1730"/>
      <c r="D1502" s="1730"/>
      <c r="E1502" s="1314"/>
      <c r="R1502" s="1315"/>
      <c r="S1502" s="1315"/>
      <c r="T1502" s="1315"/>
      <c r="U1502" s="1315"/>
      <c r="V1502" s="1315"/>
      <c r="W1502" s="1315"/>
      <c r="X1502" s="1315"/>
      <c r="Y1502" s="1315"/>
    </row>
    <row r="1503" spans="1:25" x14ac:dyDescent="0.2">
      <c r="A1503" s="1730"/>
      <c r="B1503" s="1730"/>
      <c r="C1503" s="1730"/>
      <c r="D1503" s="1730"/>
      <c r="E1503" s="1314"/>
      <c r="R1503" s="1315"/>
      <c r="S1503" s="1315"/>
      <c r="T1503" s="1315"/>
      <c r="U1503" s="1315"/>
      <c r="V1503" s="1315"/>
      <c r="W1503" s="1315"/>
      <c r="X1503" s="1315"/>
      <c r="Y1503" s="1315"/>
    </row>
    <row r="1504" spans="1:25" x14ac:dyDescent="0.2">
      <c r="A1504" s="1730"/>
      <c r="B1504" s="1730"/>
      <c r="C1504" s="1730"/>
      <c r="D1504" s="1730"/>
      <c r="E1504" s="1314"/>
      <c r="R1504" s="1315"/>
      <c r="S1504" s="1315"/>
      <c r="T1504" s="1315"/>
      <c r="U1504" s="1315"/>
      <c r="V1504" s="1315"/>
      <c r="W1504" s="1315"/>
      <c r="X1504" s="1315"/>
      <c r="Y1504" s="1315"/>
    </row>
    <row r="1505" spans="1:25" x14ac:dyDescent="0.2">
      <c r="A1505" s="1730"/>
      <c r="B1505" s="1730"/>
      <c r="C1505" s="1730"/>
      <c r="D1505" s="1730"/>
      <c r="E1505" s="1314"/>
      <c r="R1505" s="1315"/>
      <c r="S1505" s="1315"/>
      <c r="T1505" s="1315"/>
      <c r="U1505" s="1315"/>
      <c r="V1505" s="1315"/>
      <c r="W1505" s="1315"/>
      <c r="X1505" s="1315"/>
      <c r="Y1505" s="1315"/>
    </row>
    <row r="1506" spans="1:25" x14ac:dyDescent="0.2">
      <c r="A1506" s="1730"/>
      <c r="B1506" s="1730"/>
      <c r="C1506" s="1730"/>
      <c r="D1506" s="1730"/>
      <c r="E1506" s="1314"/>
      <c r="R1506" s="1315"/>
      <c r="S1506" s="1315"/>
      <c r="T1506" s="1315"/>
      <c r="U1506" s="1315"/>
      <c r="V1506" s="1315"/>
      <c r="W1506" s="1315"/>
      <c r="X1506" s="1315"/>
      <c r="Y1506" s="1315"/>
    </row>
    <row r="1507" spans="1:25" x14ac:dyDescent="0.2">
      <c r="A1507" s="1730"/>
      <c r="B1507" s="1730"/>
      <c r="C1507" s="1730"/>
      <c r="D1507" s="1730"/>
      <c r="E1507" s="1314"/>
      <c r="R1507" s="1315"/>
      <c r="S1507" s="1315"/>
      <c r="T1507" s="1315"/>
      <c r="U1507" s="1315"/>
      <c r="V1507" s="1315"/>
      <c r="W1507" s="1315"/>
      <c r="X1507" s="1315"/>
      <c r="Y1507" s="1315"/>
    </row>
    <row r="1508" spans="1:25" x14ac:dyDescent="0.2">
      <c r="A1508" s="1730"/>
      <c r="B1508" s="1730"/>
      <c r="C1508" s="1730"/>
      <c r="D1508" s="1730"/>
      <c r="E1508" s="1314"/>
      <c r="R1508" s="1315"/>
      <c r="S1508" s="1315"/>
      <c r="T1508" s="1315"/>
      <c r="U1508" s="1315"/>
      <c r="V1508" s="1315"/>
      <c r="W1508" s="1315"/>
      <c r="X1508" s="1315"/>
      <c r="Y1508" s="1315"/>
    </row>
    <row r="1509" spans="1:25" x14ac:dyDescent="0.2">
      <c r="A1509" s="1730"/>
      <c r="B1509" s="1730"/>
      <c r="C1509" s="1730"/>
      <c r="D1509" s="1730"/>
      <c r="E1509" s="1314"/>
      <c r="R1509" s="1315"/>
      <c r="S1509" s="1315"/>
      <c r="T1509" s="1315"/>
      <c r="U1509" s="1315"/>
      <c r="V1509" s="1315"/>
      <c r="W1509" s="1315"/>
      <c r="X1509" s="1315"/>
      <c r="Y1509" s="1315"/>
    </row>
    <row r="1510" spans="1:25" x14ac:dyDescent="0.2">
      <c r="A1510" s="1730"/>
      <c r="B1510" s="1730"/>
      <c r="C1510" s="1730"/>
      <c r="D1510" s="1730"/>
      <c r="E1510" s="1314"/>
      <c r="R1510" s="1315"/>
      <c r="S1510" s="1315"/>
      <c r="T1510" s="1315"/>
      <c r="U1510" s="1315"/>
      <c r="V1510" s="1315"/>
      <c r="W1510" s="1315"/>
      <c r="X1510" s="1315"/>
      <c r="Y1510" s="1315"/>
    </row>
    <row r="1511" spans="1:25" x14ac:dyDescent="0.2">
      <c r="A1511" s="1730"/>
      <c r="B1511" s="1730"/>
      <c r="C1511" s="1730"/>
      <c r="D1511" s="1730"/>
      <c r="E1511" s="1314"/>
      <c r="R1511" s="1315"/>
      <c r="S1511" s="1315"/>
      <c r="T1511" s="1315"/>
      <c r="U1511" s="1315"/>
      <c r="V1511" s="1315"/>
      <c r="W1511" s="1315"/>
      <c r="X1511" s="1315"/>
      <c r="Y1511" s="1315"/>
    </row>
    <row r="1512" spans="1:25" x14ac:dyDescent="0.2">
      <c r="A1512" s="1730"/>
      <c r="B1512" s="1730"/>
      <c r="C1512" s="1730"/>
      <c r="D1512" s="1730"/>
      <c r="E1512" s="1314"/>
      <c r="R1512" s="1315"/>
      <c r="S1512" s="1315"/>
      <c r="T1512" s="1315"/>
      <c r="U1512" s="1315"/>
      <c r="V1512" s="1315"/>
      <c r="W1512" s="1315"/>
      <c r="X1512" s="1315"/>
      <c r="Y1512" s="1315"/>
    </row>
    <row r="1513" spans="1:25" x14ac:dyDescent="0.2">
      <c r="A1513" s="1730"/>
      <c r="B1513" s="1730"/>
      <c r="C1513" s="1730"/>
      <c r="D1513" s="1730"/>
      <c r="E1513" s="1314"/>
      <c r="R1513" s="1315"/>
      <c r="S1513" s="1315"/>
      <c r="T1513" s="1315"/>
      <c r="U1513" s="1315"/>
      <c r="V1513" s="1315"/>
      <c r="W1513" s="1315"/>
      <c r="X1513" s="1315"/>
      <c r="Y1513" s="1315"/>
    </row>
    <row r="1514" spans="1:25" x14ac:dyDescent="0.2">
      <c r="A1514" s="1730"/>
      <c r="B1514" s="1730"/>
      <c r="C1514" s="1730"/>
      <c r="D1514" s="1730"/>
      <c r="E1514" s="1314"/>
      <c r="R1514" s="1315"/>
      <c r="S1514" s="1315"/>
      <c r="T1514" s="1315"/>
      <c r="U1514" s="1315"/>
      <c r="V1514" s="1315"/>
      <c r="W1514" s="1315"/>
      <c r="X1514" s="1315"/>
      <c r="Y1514" s="1315"/>
    </row>
    <row r="1515" spans="1:25" x14ac:dyDescent="0.2">
      <c r="A1515" s="1730"/>
      <c r="B1515" s="1730"/>
      <c r="C1515" s="1730"/>
      <c r="D1515" s="1730"/>
      <c r="E1515" s="1314"/>
      <c r="R1515" s="1315"/>
      <c r="S1515" s="1315"/>
      <c r="T1515" s="1315"/>
      <c r="U1515" s="1315"/>
      <c r="V1515" s="1315"/>
      <c r="W1515" s="1315"/>
      <c r="X1515" s="1315"/>
      <c r="Y1515" s="1315"/>
    </row>
    <row r="1516" spans="1:25" x14ac:dyDescent="0.2">
      <c r="A1516" s="1730"/>
      <c r="B1516" s="1730"/>
      <c r="C1516" s="1730"/>
      <c r="D1516" s="1730"/>
      <c r="E1516" s="1314"/>
      <c r="R1516" s="1315"/>
      <c r="S1516" s="1315"/>
      <c r="T1516" s="1315"/>
      <c r="U1516" s="1315"/>
      <c r="V1516" s="1315"/>
      <c r="W1516" s="1315"/>
      <c r="X1516" s="1315"/>
      <c r="Y1516" s="1315"/>
    </row>
    <row r="1517" spans="1:25" x14ac:dyDescent="0.2">
      <c r="A1517" s="1730"/>
      <c r="B1517" s="1730"/>
      <c r="C1517" s="1730"/>
      <c r="D1517" s="1730"/>
      <c r="E1517" s="1314"/>
      <c r="R1517" s="1315"/>
      <c r="S1517" s="1315"/>
      <c r="T1517" s="1315"/>
      <c r="U1517" s="1315"/>
      <c r="V1517" s="1315"/>
      <c r="W1517" s="1315"/>
      <c r="X1517" s="1315"/>
      <c r="Y1517" s="1315"/>
    </row>
    <row r="1518" spans="1:25" x14ac:dyDescent="0.2">
      <c r="A1518" s="1730"/>
      <c r="B1518" s="1730"/>
      <c r="C1518" s="1730"/>
      <c r="D1518" s="1730"/>
      <c r="E1518" s="1314"/>
      <c r="R1518" s="1315"/>
      <c r="S1518" s="1315"/>
      <c r="T1518" s="1315"/>
      <c r="U1518" s="1315"/>
      <c r="V1518" s="1315"/>
      <c r="W1518" s="1315"/>
      <c r="X1518" s="1315"/>
      <c r="Y1518" s="1315"/>
    </row>
    <row r="1519" spans="1:25" x14ac:dyDescent="0.2">
      <c r="A1519" s="1730"/>
      <c r="B1519" s="1730"/>
      <c r="C1519" s="1730"/>
      <c r="D1519" s="1730"/>
      <c r="E1519" s="1314"/>
      <c r="R1519" s="1315"/>
      <c r="S1519" s="1315"/>
      <c r="T1519" s="1315"/>
      <c r="U1519" s="1315"/>
      <c r="V1519" s="1315"/>
      <c r="W1519" s="1315"/>
      <c r="X1519" s="1315"/>
      <c r="Y1519" s="1315"/>
    </row>
    <row r="1520" spans="1:25" x14ac:dyDescent="0.2">
      <c r="A1520" s="1730"/>
      <c r="B1520" s="1730"/>
      <c r="C1520" s="1730"/>
      <c r="D1520" s="1730"/>
      <c r="E1520" s="1314"/>
      <c r="R1520" s="1315"/>
      <c r="S1520" s="1315"/>
      <c r="T1520" s="1315"/>
      <c r="U1520" s="1315"/>
      <c r="V1520" s="1315"/>
      <c r="W1520" s="1315"/>
      <c r="X1520" s="1315"/>
      <c r="Y1520" s="1315"/>
    </row>
    <row r="1521" spans="1:25" x14ac:dyDescent="0.2">
      <c r="A1521" s="1730"/>
      <c r="B1521" s="1730"/>
      <c r="C1521" s="1730"/>
      <c r="D1521" s="1730"/>
      <c r="E1521" s="1314"/>
      <c r="R1521" s="1315"/>
      <c r="S1521" s="1315"/>
      <c r="T1521" s="1315"/>
      <c r="U1521" s="1315"/>
      <c r="V1521" s="1315"/>
      <c r="W1521" s="1315"/>
      <c r="X1521" s="1315"/>
      <c r="Y1521" s="1315"/>
    </row>
    <row r="1522" spans="1:25" x14ac:dyDescent="0.2">
      <c r="A1522" s="1730"/>
      <c r="B1522" s="1730"/>
      <c r="C1522" s="1730"/>
      <c r="D1522" s="1730"/>
      <c r="E1522" s="1314"/>
      <c r="R1522" s="1315"/>
      <c r="S1522" s="1315"/>
      <c r="T1522" s="1315"/>
      <c r="U1522" s="1315"/>
      <c r="V1522" s="1315"/>
      <c r="W1522" s="1315"/>
      <c r="X1522" s="1315"/>
      <c r="Y1522" s="1315"/>
    </row>
    <row r="1523" spans="1:25" x14ac:dyDescent="0.2">
      <c r="A1523" s="1730"/>
      <c r="B1523" s="1730"/>
      <c r="C1523" s="1730"/>
      <c r="D1523" s="1730"/>
      <c r="E1523" s="1314"/>
      <c r="R1523" s="1315"/>
      <c r="S1523" s="1315"/>
      <c r="T1523" s="1315"/>
      <c r="U1523" s="1315"/>
      <c r="V1523" s="1315"/>
      <c r="W1523" s="1315"/>
      <c r="X1523" s="1315"/>
      <c r="Y1523" s="1315"/>
    </row>
    <row r="1524" spans="1:25" x14ac:dyDescent="0.2">
      <c r="A1524" s="1730"/>
      <c r="B1524" s="1730"/>
      <c r="C1524" s="1730"/>
      <c r="D1524" s="1730"/>
      <c r="E1524" s="1314"/>
      <c r="R1524" s="1315"/>
      <c r="S1524" s="1315"/>
      <c r="T1524" s="1315"/>
      <c r="U1524" s="1315"/>
      <c r="V1524" s="1315"/>
      <c r="W1524" s="1315"/>
      <c r="X1524" s="1315"/>
      <c r="Y1524" s="1315"/>
    </row>
    <row r="1525" spans="1:25" x14ac:dyDescent="0.2">
      <c r="A1525" s="1730"/>
      <c r="B1525" s="1730"/>
      <c r="C1525" s="1730"/>
      <c r="D1525" s="1730"/>
      <c r="E1525" s="1314"/>
      <c r="R1525" s="1315"/>
      <c r="S1525" s="1315"/>
      <c r="T1525" s="1315"/>
      <c r="U1525" s="1315"/>
      <c r="V1525" s="1315"/>
      <c r="W1525" s="1315"/>
      <c r="X1525" s="1315"/>
      <c r="Y1525" s="1315"/>
    </row>
    <row r="1526" spans="1:25" x14ac:dyDescent="0.2">
      <c r="A1526" s="1730"/>
      <c r="B1526" s="1730"/>
      <c r="C1526" s="1730"/>
      <c r="D1526" s="1730"/>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J40" activePane="bottomRight" state="frozen"/>
      <selection pane="topRight"/>
      <selection pane="bottomLeft"/>
      <selection pane="bottomRight" activeCell="K14" sqref="K14"/>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LIM471 Ephraim Mogale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920</v>
      </c>
      <c r="B2" s="296" t="str">
        <f>head27</f>
        <v>Ref</v>
      </c>
      <c r="C2" s="2708" t="s">
        <v>1017</v>
      </c>
      <c r="D2" s="2708" t="s">
        <v>1306</v>
      </c>
      <c r="E2" s="2708" t="s">
        <v>1899</v>
      </c>
      <c r="F2" s="1886" t="s">
        <v>2141</v>
      </c>
      <c r="G2" s="1886" t="s">
        <v>2142</v>
      </c>
      <c r="H2" s="1886" t="s">
        <v>2143</v>
      </c>
      <c r="I2" s="1886" t="s">
        <v>2144</v>
      </c>
      <c r="J2" s="2738" t="s">
        <v>1018</v>
      </c>
      <c r="K2" s="2708" t="s">
        <v>1310</v>
      </c>
      <c r="L2" s="2706"/>
      <c r="M2" s="2650" t="str">
        <f>Head3</f>
        <v>2016/17 Medium Term Revenue &amp; Expenditure Framework</v>
      </c>
      <c r="N2" s="2651"/>
      <c r="O2" s="2652"/>
      <c r="P2" s="2736" t="s">
        <v>1308</v>
      </c>
      <c r="Q2" s="2737"/>
    </row>
    <row r="3" spans="1:17" ht="50.25" customHeight="1" x14ac:dyDescent="0.25">
      <c r="A3" s="58" t="s">
        <v>625</v>
      </c>
      <c r="B3" s="1945">
        <v>4</v>
      </c>
      <c r="C3" s="2709"/>
      <c r="D3" s="2709" t="s">
        <v>1702</v>
      </c>
      <c r="E3" s="2709"/>
      <c r="F3" s="267">
        <v>6</v>
      </c>
      <c r="G3" s="267">
        <v>3</v>
      </c>
      <c r="H3" s="267">
        <v>3</v>
      </c>
      <c r="I3" s="267">
        <v>5</v>
      </c>
      <c r="J3" s="2739"/>
      <c r="K3" s="801" t="str">
        <f>Head5&amp;"    "&amp;Head1</f>
        <v>Audited Outcome    2014/15</v>
      </c>
      <c r="L3" s="802" t="str">
        <f>Head2 &amp; "        "&amp;Head8</f>
        <v>Current Year 2015/16        Full Year Forecast</v>
      </c>
      <c r="M3" s="177" t="str">
        <f>Head9</f>
        <v>Budget Year 2016/17</v>
      </c>
      <c r="N3" s="267" t="str">
        <f>Head10</f>
        <v>Budget Year +1 2017/18</v>
      </c>
      <c r="O3" s="268" t="str">
        <f>Head11</f>
        <v>Budget Year +2 2018/19</v>
      </c>
      <c r="P3" s="879" t="s">
        <v>1309</v>
      </c>
      <c r="Q3" s="802" t="s">
        <v>1307</v>
      </c>
    </row>
    <row r="4" spans="1:17" x14ac:dyDescent="0.25">
      <c r="A4" s="819" t="s">
        <v>1422</v>
      </c>
      <c r="B4" s="820"/>
      <c r="C4" s="821"/>
      <c r="D4" s="822"/>
      <c r="E4" s="822"/>
      <c r="F4" s="822"/>
      <c r="G4" s="823"/>
      <c r="H4" s="824"/>
      <c r="I4" s="1768"/>
      <c r="J4" s="219"/>
      <c r="K4" s="189"/>
      <c r="L4" s="190"/>
      <c r="M4" s="191"/>
      <c r="N4" s="189"/>
      <c r="O4" s="192"/>
      <c r="P4" s="825"/>
      <c r="Q4" s="826"/>
    </row>
    <row r="5" spans="1:17" s="586" customFormat="1" x14ac:dyDescent="0.25">
      <c r="A5" s="1281" t="s">
        <v>1016</v>
      </c>
      <c r="B5" s="949"/>
      <c r="C5" s="950"/>
      <c r="D5" s="951"/>
      <c r="E5" s="951"/>
      <c r="F5" s="951"/>
      <c r="G5" s="1282"/>
      <c r="H5" s="1283"/>
      <c r="I5" s="1769"/>
      <c r="J5" s="952"/>
      <c r="K5" s="953"/>
      <c r="L5" s="954"/>
      <c r="M5" s="955"/>
      <c r="N5" s="953"/>
      <c r="O5" s="956"/>
      <c r="P5" s="957"/>
      <c r="Q5" s="958"/>
    </row>
    <row r="6" spans="1:17" ht="5.0999999999999996" customHeight="1" x14ac:dyDescent="0.25">
      <c r="A6" s="831"/>
      <c r="B6" s="228"/>
      <c r="C6" s="473"/>
      <c r="D6" s="827"/>
      <c r="E6" s="827"/>
      <c r="F6" s="827"/>
      <c r="G6" s="828"/>
      <c r="H6" s="829"/>
      <c r="I6" s="1770"/>
      <c r="J6" s="84"/>
      <c r="K6" s="81"/>
      <c r="L6" s="80"/>
      <c r="M6" s="83"/>
      <c r="N6" s="81"/>
      <c r="O6" s="82"/>
      <c r="P6" s="530"/>
      <c r="Q6" s="832"/>
    </row>
    <row r="7" spans="1:17" ht="12.75" customHeight="1" x14ac:dyDescent="0.25">
      <c r="A7" s="2494" t="s">
        <v>2405</v>
      </c>
      <c r="B7" s="2326"/>
      <c r="C7" s="2500" t="s">
        <v>2418</v>
      </c>
      <c r="D7" s="2449"/>
      <c r="E7" s="2449"/>
      <c r="F7" s="2419"/>
      <c r="G7" s="2495"/>
      <c r="H7" s="2496"/>
      <c r="I7" s="2497"/>
      <c r="J7" s="2090"/>
      <c r="K7" s="2088"/>
      <c r="L7" s="2108">
        <f>586339+600000+750000</f>
        <v>1936339</v>
      </c>
      <c r="M7" s="2107">
        <v>2300000</v>
      </c>
      <c r="N7" s="2088">
        <v>2438000</v>
      </c>
      <c r="O7" s="2106">
        <v>2584280</v>
      </c>
      <c r="P7" s="2498"/>
      <c r="Q7" s="2499"/>
    </row>
    <row r="8" spans="1:17" ht="12.75" customHeight="1" x14ac:dyDescent="0.25">
      <c r="A8" s="2494" t="s">
        <v>2403</v>
      </c>
      <c r="B8" s="2326"/>
      <c r="C8" s="2500" t="s">
        <v>2414</v>
      </c>
      <c r="D8" s="2447"/>
      <c r="E8" s="2447"/>
      <c r="F8" s="2419"/>
      <c r="G8" s="2495"/>
      <c r="H8" s="2496"/>
      <c r="I8" s="2497"/>
      <c r="J8" s="2090"/>
      <c r="K8" s="2088">
        <v>283778</v>
      </c>
      <c r="L8" s="2108">
        <f>24717+305706+560428+794932+865228+26887+88344</f>
        <v>2666242</v>
      </c>
      <c r="M8" s="2107">
        <v>5425357.5</v>
      </c>
      <c r="N8" s="2088">
        <v>5750878.9500000002</v>
      </c>
      <c r="O8" s="2106">
        <v>6095931.6900000004</v>
      </c>
      <c r="P8" s="2498"/>
      <c r="Q8" s="2499"/>
    </row>
    <row r="9" spans="1:17" ht="12.75" customHeight="1" x14ac:dyDescent="0.25">
      <c r="A9" s="2494" t="s">
        <v>2254</v>
      </c>
      <c r="B9" s="2326"/>
      <c r="C9" s="2500" t="s">
        <v>2419</v>
      </c>
      <c r="D9" s="2447"/>
      <c r="E9" s="2447"/>
      <c r="F9" s="2419"/>
      <c r="G9" s="2495"/>
      <c r="H9" s="2496"/>
      <c r="I9" s="2497"/>
      <c r="J9" s="2090"/>
      <c r="K9" s="2088">
        <v>177182</v>
      </c>
      <c r="L9" s="2108">
        <f>56162+407712+200000+350000</f>
        <v>1013874</v>
      </c>
      <c r="M9" s="2107">
        <v>971600</v>
      </c>
      <c r="N9" s="2088">
        <v>1029896</v>
      </c>
      <c r="O9" s="2106">
        <v>1091689.76</v>
      </c>
      <c r="P9" s="2498"/>
      <c r="Q9" s="2499"/>
    </row>
    <row r="10" spans="1:17" ht="12.75" customHeight="1" x14ac:dyDescent="0.25">
      <c r="A10" s="2494" t="s">
        <v>2404</v>
      </c>
      <c r="B10" s="2326"/>
      <c r="C10" s="2500" t="s">
        <v>2423</v>
      </c>
      <c r="D10" s="2447"/>
      <c r="E10" s="2447"/>
      <c r="F10" s="2419"/>
      <c r="G10" s="2495"/>
      <c r="H10" s="2496"/>
      <c r="I10" s="2497"/>
      <c r="J10" s="2090"/>
      <c r="K10" s="2088">
        <v>39807216</v>
      </c>
      <c r="L10" s="2108">
        <f>1000000+650000+8500000+1700000+2400000+12500000+120000+500000+1490000+240000+11360000+6805000+5710000+7380000</f>
        <v>60355000</v>
      </c>
      <c r="M10" s="2107">
        <v>49900000</v>
      </c>
      <c r="N10" s="2088">
        <v>52894000</v>
      </c>
      <c r="O10" s="2106">
        <v>56067640</v>
      </c>
      <c r="P10" s="2498"/>
      <c r="Q10" s="2499"/>
    </row>
    <row r="11" spans="1:17" ht="12.75" customHeight="1" x14ac:dyDescent="0.25">
      <c r="A11" s="2494" t="s">
        <v>2272</v>
      </c>
      <c r="B11" s="2326"/>
      <c r="C11" s="2500" t="s">
        <v>2406</v>
      </c>
      <c r="D11" s="2447"/>
      <c r="E11" s="2447"/>
      <c r="F11" s="2419"/>
      <c r="G11" s="2495"/>
      <c r="H11" s="2496"/>
      <c r="I11" s="2497"/>
      <c r="J11" s="2090"/>
      <c r="K11" s="2088"/>
      <c r="L11" s="2108">
        <v>1600000</v>
      </c>
      <c r="M11" s="2107">
        <v>1517000</v>
      </c>
      <c r="N11" s="2088">
        <v>1608020</v>
      </c>
      <c r="O11" s="2106">
        <v>1704501.2</v>
      </c>
      <c r="P11" s="2498"/>
      <c r="Q11" s="2499"/>
    </row>
    <row r="12" spans="1:17" ht="12.75" customHeight="1" x14ac:dyDescent="0.25">
      <c r="A12" s="2494" t="s">
        <v>2264</v>
      </c>
      <c r="B12" s="2326"/>
      <c r="C12" s="2500" t="s">
        <v>2413</v>
      </c>
      <c r="D12" s="2447"/>
      <c r="E12" s="2447"/>
      <c r="F12" s="2419"/>
      <c r="G12" s="2495"/>
      <c r="H12" s="2496"/>
      <c r="I12" s="2497"/>
      <c r="J12" s="2090"/>
      <c r="K12" s="2088"/>
      <c r="L12" s="2108">
        <f>600000+283500</f>
        <v>883500</v>
      </c>
      <c r="M12" s="2107">
        <v>2224000</v>
      </c>
      <c r="N12" s="2088">
        <v>2357440</v>
      </c>
      <c r="O12" s="2106">
        <v>2498886.4</v>
      </c>
      <c r="P12" s="2498"/>
      <c r="Q12" s="2499"/>
    </row>
    <row r="13" spans="1:17" ht="12.75" customHeight="1" x14ac:dyDescent="0.25">
      <c r="A13" s="2494" t="s">
        <v>2415</v>
      </c>
      <c r="B13" s="2326"/>
      <c r="C13" s="2500" t="s">
        <v>2416</v>
      </c>
      <c r="D13" s="2447"/>
      <c r="E13" s="2447"/>
      <c r="F13" s="2419"/>
      <c r="G13" s="2495"/>
      <c r="H13" s="2496"/>
      <c r="I13" s="2497"/>
      <c r="J13" s="2090"/>
      <c r="K13" s="2088"/>
      <c r="L13" s="2108"/>
      <c r="M13" s="2107">
        <v>250000</v>
      </c>
      <c r="N13" s="2088">
        <v>265000</v>
      </c>
      <c r="O13" s="2106">
        <v>280900</v>
      </c>
      <c r="P13" s="2498"/>
      <c r="Q13" s="2499"/>
    </row>
    <row r="14" spans="1:17" ht="12.75" customHeight="1" x14ac:dyDescent="0.25">
      <c r="A14" s="2494" t="s">
        <v>2270</v>
      </c>
      <c r="B14" s="2326"/>
      <c r="C14" s="2500" t="s">
        <v>2417</v>
      </c>
      <c r="D14" s="2447"/>
      <c r="E14" s="2447"/>
      <c r="F14" s="2419"/>
      <c r="G14" s="2495"/>
      <c r="H14" s="2496"/>
      <c r="I14" s="2497"/>
      <c r="J14" s="2090"/>
      <c r="K14" s="2088">
        <v>680979</v>
      </c>
      <c r="L14" s="2108"/>
      <c r="M14" s="2107">
        <v>1320000</v>
      </c>
      <c r="N14" s="2088">
        <v>1399200</v>
      </c>
      <c r="O14" s="2106">
        <v>1483152</v>
      </c>
      <c r="P14" s="2498"/>
      <c r="Q14" s="2499"/>
    </row>
    <row r="15" spans="1:17" ht="12.75" customHeight="1" x14ac:dyDescent="0.25">
      <c r="A15" s="2494" t="s">
        <v>2240</v>
      </c>
      <c r="B15" s="2326"/>
      <c r="C15" s="2500" t="s">
        <v>2420</v>
      </c>
      <c r="D15" s="2447"/>
      <c r="E15" s="2447"/>
      <c r="F15" s="2419"/>
      <c r="G15" s="2495"/>
      <c r="H15" s="2496"/>
      <c r="I15" s="2497"/>
      <c r="J15" s="2090"/>
      <c r="K15" s="2088"/>
      <c r="L15" s="2108"/>
      <c r="M15" s="2107">
        <v>800000</v>
      </c>
      <c r="N15" s="2088">
        <v>0</v>
      </c>
      <c r="O15" s="2106">
        <v>0</v>
      </c>
      <c r="P15" s="2498"/>
      <c r="Q15" s="2499"/>
    </row>
    <row r="16" spans="1:17" ht="12.75" customHeight="1" x14ac:dyDescent="0.25">
      <c r="A16" s="2494" t="s">
        <v>2421</v>
      </c>
      <c r="B16" s="2326"/>
      <c r="C16" s="2500" t="s">
        <v>2422</v>
      </c>
      <c r="D16" s="2447"/>
      <c r="E16" s="2447"/>
      <c r="F16" s="2419"/>
      <c r="G16" s="2495"/>
      <c r="H16" s="2496"/>
      <c r="I16" s="2497"/>
      <c r="J16" s="2090"/>
      <c r="K16" s="2088">
        <v>5559048</v>
      </c>
      <c r="L16" s="2108"/>
      <c r="M16" s="2107">
        <v>800000</v>
      </c>
      <c r="N16" s="2088">
        <v>848000</v>
      </c>
      <c r="O16" s="2106">
        <v>898880</v>
      </c>
      <c r="P16" s="2498"/>
      <c r="Q16" s="2499"/>
    </row>
    <row r="17" spans="1:17" ht="12.75" customHeight="1" x14ac:dyDescent="0.25">
      <c r="A17" s="2494"/>
      <c r="B17" s="2326"/>
      <c r="C17" s="2500"/>
      <c r="D17" s="2447"/>
      <c r="E17" s="2447"/>
      <c r="F17" s="2419"/>
      <c r="G17" s="2495"/>
      <c r="H17" s="2496"/>
      <c r="I17" s="2497"/>
      <c r="J17" s="2090"/>
      <c r="K17" s="2088"/>
      <c r="L17" s="2108"/>
      <c r="M17" s="2107"/>
      <c r="N17" s="2088"/>
      <c r="O17" s="2106"/>
      <c r="P17" s="2498"/>
      <c r="Q17" s="2499"/>
    </row>
    <row r="18" spans="1:17" ht="12.75" customHeight="1" x14ac:dyDescent="0.25">
      <c r="A18" s="2494"/>
      <c r="B18" s="2326"/>
      <c r="C18" s="2500"/>
      <c r="D18" s="2447"/>
      <c r="E18" s="2447"/>
      <c r="F18" s="2419"/>
      <c r="G18" s="2495"/>
      <c r="H18" s="2496"/>
      <c r="I18" s="2497"/>
      <c r="J18" s="2090"/>
      <c r="K18" s="2088"/>
      <c r="L18" s="2108"/>
      <c r="M18" s="2107"/>
      <c r="N18" s="2088"/>
      <c r="O18" s="2106"/>
      <c r="P18" s="2498"/>
      <c r="Q18" s="2499"/>
    </row>
    <row r="19" spans="1:17" ht="12.75" customHeight="1" x14ac:dyDescent="0.25">
      <c r="A19" s="2494"/>
      <c r="B19" s="2326"/>
      <c r="C19" s="2500"/>
      <c r="D19" s="2447"/>
      <c r="E19" s="2447"/>
      <c r="F19" s="2419"/>
      <c r="G19" s="2495"/>
      <c r="H19" s="2496"/>
      <c r="I19" s="2497"/>
      <c r="J19" s="2090"/>
      <c r="K19" s="2088"/>
      <c r="L19" s="2108"/>
      <c r="M19" s="2107"/>
      <c r="N19" s="2088"/>
      <c r="O19" s="2106"/>
      <c r="P19" s="2498"/>
      <c r="Q19" s="2499"/>
    </row>
    <row r="20" spans="1:17" ht="12.75" customHeight="1" x14ac:dyDescent="0.25">
      <c r="A20" s="2494"/>
      <c r="B20" s="2326"/>
      <c r="C20" s="2500"/>
      <c r="D20" s="2447"/>
      <c r="E20" s="2447"/>
      <c r="F20" s="2419"/>
      <c r="G20" s="2495"/>
      <c r="H20" s="2496"/>
      <c r="I20" s="2497"/>
      <c r="J20" s="2090"/>
      <c r="K20" s="2088"/>
      <c r="L20" s="2108"/>
      <c r="M20" s="2107"/>
      <c r="N20" s="2088"/>
      <c r="O20" s="2106"/>
      <c r="P20" s="2498"/>
      <c r="Q20" s="2499"/>
    </row>
    <row r="21" spans="1:17" ht="12.75" customHeight="1" x14ac:dyDescent="0.25">
      <c r="A21" s="2494"/>
      <c r="B21" s="2326"/>
      <c r="C21" s="2500"/>
      <c r="D21" s="2447"/>
      <c r="E21" s="2447"/>
      <c r="F21" s="2419"/>
      <c r="G21" s="2495"/>
      <c r="H21" s="2496"/>
      <c r="I21" s="2497"/>
      <c r="J21" s="2090"/>
      <c r="K21" s="2088"/>
      <c r="L21" s="2108"/>
      <c r="M21" s="2107"/>
      <c r="N21" s="2088"/>
      <c r="O21" s="2106"/>
      <c r="P21" s="2498"/>
      <c r="Q21" s="2499"/>
    </row>
    <row r="22" spans="1:17" ht="12.75" customHeight="1" x14ac:dyDescent="0.25">
      <c r="A22" s="2494"/>
      <c r="B22" s="2326"/>
      <c r="C22" s="2500"/>
      <c r="D22" s="1458"/>
      <c r="E22" s="1458"/>
      <c r="F22" s="2419"/>
      <c r="G22" s="2495"/>
      <c r="H22" s="2496"/>
      <c r="I22" s="2497"/>
      <c r="J22" s="2090"/>
      <c r="K22" s="2088"/>
      <c r="L22" s="2108"/>
      <c r="M22" s="2107"/>
      <c r="N22" s="2088"/>
      <c r="O22" s="2106"/>
      <c r="P22" s="2498"/>
      <c r="Q22" s="2499"/>
    </row>
    <row r="23" spans="1:17" x14ac:dyDescent="0.25">
      <c r="A23" s="670" t="s">
        <v>1896</v>
      </c>
      <c r="B23" s="671">
        <v>1</v>
      </c>
      <c r="C23" s="1623"/>
      <c r="D23" s="1624"/>
      <c r="E23" s="1624"/>
      <c r="F23" s="1624"/>
      <c r="G23" s="1625"/>
      <c r="H23" s="1626"/>
      <c r="I23" s="1771"/>
      <c r="J23" s="157"/>
      <c r="K23" s="154"/>
      <c r="L23" s="153"/>
      <c r="M23" s="157">
        <f>SUM(M7:M22)</f>
        <v>65507957.5</v>
      </c>
      <c r="N23" s="154">
        <f>SUM(N7:N22)</f>
        <v>68590434.950000003</v>
      </c>
      <c r="O23" s="682">
        <f>SUM(O7:O22)</f>
        <v>72705861.050000012</v>
      </c>
      <c r="P23" s="1627">
        <f>SUM(P6:P22)</f>
        <v>0</v>
      </c>
      <c r="Q23" s="1628">
        <f>SUM(Q6:Q22)</f>
        <v>0</v>
      </c>
    </row>
    <row r="24" spans="1:17" x14ac:dyDescent="0.25">
      <c r="A24" s="831"/>
      <c r="B24" s="228"/>
      <c r="C24" s="473"/>
      <c r="D24" s="827"/>
      <c r="E24" s="827"/>
      <c r="F24" s="827"/>
      <c r="G24" s="828"/>
      <c r="H24" s="829"/>
      <c r="I24" s="1770"/>
      <c r="J24" s="84"/>
      <c r="K24" s="81"/>
      <c r="L24" s="80"/>
      <c r="M24" s="83"/>
      <c r="N24" s="81"/>
      <c r="O24" s="82"/>
      <c r="P24" s="530"/>
      <c r="Q24" s="832"/>
    </row>
    <row r="25" spans="1:17" x14ac:dyDescent="0.25">
      <c r="A25" s="527" t="s">
        <v>16</v>
      </c>
      <c r="B25" s="228"/>
      <c r="C25" s="473"/>
      <c r="D25" s="827"/>
      <c r="E25" s="827"/>
      <c r="F25" s="827"/>
      <c r="G25" s="828"/>
      <c r="H25" s="829"/>
      <c r="I25" s="1770"/>
      <c r="J25" s="84"/>
      <c r="K25" s="81"/>
      <c r="L25" s="80"/>
      <c r="M25" s="83"/>
      <c r="N25" s="81"/>
      <c r="O25" s="82"/>
      <c r="P25" s="530"/>
      <c r="Q25" s="832"/>
    </row>
    <row r="26" spans="1:17" ht="11.25" customHeight="1" x14ac:dyDescent="0.25">
      <c r="A26" s="248" t="s">
        <v>1423</v>
      </c>
      <c r="B26" s="228"/>
      <c r="C26" s="473"/>
      <c r="D26" s="827"/>
      <c r="E26" s="827"/>
      <c r="F26" s="827"/>
      <c r="G26" s="828"/>
      <c r="H26" s="829"/>
      <c r="I26" s="1770"/>
      <c r="J26" s="283"/>
      <c r="K26" s="193"/>
      <c r="L26" s="194"/>
      <c r="M26" s="195"/>
      <c r="N26" s="193"/>
      <c r="O26" s="196"/>
      <c r="P26" s="830"/>
      <c r="Q26" s="738"/>
    </row>
    <row r="27" spans="1:17" ht="5.0999999999999996" customHeight="1" x14ac:dyDescent="0.25">
      <c r="A27" s="831"/>
      <c r="B27" s="228"/>
      <c r="C27" s="473"/>
      <c r="D27" s="827"/>
      <c r="E27" s="827"/>
      <c r="F27" s="827"/>
      <c r="G27" s="828"/>
      <c r="H27" s="829"/>
      <c r="I27" s="1770"/>
      <c r="J27" s="84"/>
      <c r="K27" s="81"/>
      <c r="L27" s="80"/>
      <c r="M27" s="83"/>
      <c r="N27" s="81"/>
      <c r="O27" s="82"/>
      <c r="P27" s="530"/>
      <c r="Q27" s="832"/>
    </row>
    <row r="28" spans="1:17" ht="11.25" customHeight="1" x14ac:dyDescent="0.25">
      <c r="A28" s="2502" t="s">
        <v>1424</v>
      </c>
      <c r="B28" s="2326"/>
      <c r="C28" s="2338"/>
      <c r="D28" s="2449"/>
      <c r="E28" s="2449"/>
      <c r="F28" s="2419"/>
      <c r="G28" s="2495"/>
      <c r="H28" s="2496"/>
      <c r="I28" s="2497"/>
      <c r="J28" s="2090"/>
      <c r="K28" s="2088"/>
      <c r="L28" s="2108"/>
      <c r="M28" s="2107"/>
      <c r="N28" s="2088"/>
      <c r="O28" s="2106"/>
      <c r="P28" s="2498"/>
      <c r="Q28" s="2499"/>
    </row>
    <row r="29" spans="1:17" ht="11.25" customHeight="1" x14ac:dyDescent="0.25">
      <c r="A29" s="2418" t="s">
        <v>1425</v>
      </c>
      <c r="B29" s="2326"/>
      <c r="C29" s="2500"/>
      <c r="D29" s="2447"/>
      <c r="E29" s="2447"/>
      <c r="F29" s="2419"/>
      <c r="G29" s="2495"/>
      <c r="H29" s="2496"/>
      <c r="I29" s="2497"/>
      <c r="J29" s="2090"/>
      <c r="K29" s="2088"/>
      <c r="L29" s="2108"/>
      <c r="M29" s="2107"/>
      <c r="N29" s="2088"/>
      <c r="O29" s="2106"/>
      <c r="P29" s="2498"/>
      <c r="Q29" s="2499"/>
    </row>
    <row r="30" spans="1:17" ht="5.0999999999999996" customHeight="1" x14ac:dyDescent="0.25">
      <c r="A30" s="2501"/>
      <c r="B30" s="2326"/>
      <c r="C30" s="2500"/>
      <c r="D30" s="2447"/>
      <c r="E30" s="2447"/>
      <c r="F30" s="2419"/>
      <c r="G30" s="2495"/>
      <c r="H30" s="2496"/>
      <c r="I30" s="2497"/>
      <c r="J30" s="2090"/>
      <c r="K30" s="2088"/>
      <c r="L30" s="2108"/>
      <c r="M30" s="2107"/>
      <c r="N30" s="2088"/>
      <c r="O30" s="2106"/>
      <c r="P30" s="2498"/>
      <c r="Q30" s="2499"/>
    </row>
    <row r="31" spans="1:17" ht="11.25" customHeight="1" x14ac:dyDescent="0.25">
      <c r="A31" s="2502" t="s">
        <v>1426</v>
      </c>
      <c r="B31" s="2326"/>
      <c r="C31" s="2500"/>
      <c r="D31" s="2447"/>
      <c r="E31" s="2447"/>
      <c r="F31" s="2419"/>
      <c r="G31" s="2495"/>
      <c r="H31" s="2496"/>
      <c r="I31" s="2497"/>
      <c r="J31" s="2090"/>
      <c r="K31" s="2088"/>
      <c r="L31" s="2108"/>
      <c r="M31" s="2107"/>
      <c r="N31" s="2088"/>
      <c r="O31" s="2106"/>
      <c r="P31" s="2498"/>
      <c r="Q31" s="2499"/>
    </row>
    <row r="32" spans="1:17" ht="11.25" customHeight="1" x14ac:dyDescent="0.25">
      <c r="A32" s="2418" t="s">
        <v>1427</v>
      </c>
      <c r="B32" s="2326"/>
      <c r="C32" s="2500"/>
      <c r="D32" s="2447"/>
      <c r="E32" s="2447"/>
      <c r="F32" s="2419"/>
      <c r="G32" s="2495"/>
      <c r="H32" s="2496"/>
      <c r="I32" s="2497"/>
      <c r="J32" s="2090"/>
      <c r="K32" s="2088"/>
      <c r="L32" s="2108"/>
      <c r="M32" s="2107"/>
      <c r="N32" s="2088"/>
      <c r="O32" s="2106"/>
      <c r="P32" s="2498"/>
      <c r="Q32" s="2499"/>
    </row>
    <row r="33" spans="1:17" ht="11.25" customHeight="1" x14ac:dyDescent="0.25">
      <c r="A33" s="2418"/>
      <c r="B33" s="2326"/>
      <c r="C33" s="2500"/>
      <c r="D33" s="2447"/>
      <c r="E33" s="2447"/>
      <c r="F33" s="2419"/>
      <c r="G33" s="2495"/>
      <c r="H33" s="2496"/>
      <c r="I33" s="2497"/>
      <c r="J33" s="2090"/>
      <c r="K33" s="2088"/>
      <c r="L33" s="2108"/>
      <c r="M33" s="2107"/>
      <c r="N33" s="2088"/>
      <c r="O33" s="2106"/>
      <c r="P33" s="2498"/>
      <c r="Q33" s="2499"/>
    </row>
    <row r="34" spans="1:17" ht="11.25" customHeight="1" x14ac:dyDescent="0.25">
      <c r="A34" s="2418"/>
      <c r="B34" s="2326"/>
      <c r="C34" s="2500"/>
      <c r="D34" s="1458"/>
      <c r="E34" s="1458"/>
      <c r="F34" s="2419"/>
      <c r="G34" s="2495"/>
      <c r="H34" s="2496"/>
      <c r="I34" s="2497"/>
      <c r="J34" s="2090"/>
      <c r="K34" s="2088"/>
      <c r="L34" s="2108"/>
      <c r="M34" s="2107"/>
      <c r="N34" s="2088"/>
      <c r="O34" s="2106"/>
      <c r="P34" s="2498"/>
      <c r="Q34" s="2499"/>
    </row>
    <row r="35" spans="1:17" ht="11.25" customHeight="1" x14ac:dyDescent="0.25">
      <c r="A35" s="2501"/>
      <c r="B35" s="2326"/>
      <c r="C35" s="2500"/>
      <c r="D35" s="1458"/>
      <c r="E35" s="1458"/>
      <c r="F35" s="2419"/>
      <c r="G35" s="2495"/>
      <c r="H35" s="2496"/>
      <c r="I35" s="2497"/>
      <c r="J35" s="2090"/>
      <c r="K35" s="2088"/>
      <c r="L35" s="2108"/>
      <c r="M35" s="2107"/>
      <c r="N35" s="2088"/>
      <c r="O35" s="2106"/>
      <c r="P35" s="2498"/>
      <c r="Q35" s="2499"/>
    </row>
    <row r="36" spans="1:17" x14ac:dyDescent="0.25">
      <c r="A36" s="1625" t="s">
        <v>1895</v>
      </c>
      <c r="B36" s="671"/>
      <c r="C36" s="1643"/>
      <c r="D36" s="1642"/>
      <c r="E36" s="1648"/>
      <c r="F36" s="1648"/>
      <c r="G36" s="1648"/>
      <c r="H36" s="1648"/>
      <c r="I36" s="1628"/>
      <c r="J36" s="157"/>
      <c r="K36" s="154">
        <f>SUM(K28:K35)</f>
        <v>0</v>
      </c>
      <c r="L36" s="682">
        <f>SUM(L28:L35)</f>
        <v>0</v>
      </c>
      <c r="M36" s="157">
        <f>SUM(M28:M35)</f>
        <v>0</v>
      </c>
      <c r="N36" s="154">
        <f>SUM(N28:N35)</f>
        <v>0</v>
      </c>
      <c r="O36" s="682">
        <f>SUM(O28:O35)</f>
        <v>0</v>
      </c>
      <c r="P36" s="1647"/>
      <c r="Q36" s="1646"/>
    </row>
    <row r="37" spans="1:17" x14ac:dyDescent="0.25">
      <c r="A37" s="1625" t="s">
        <v>878</v>
      </c>
      <c r="B37" s="671"/>
      <c r="C37" s="1643"/>
      <c r="D37" s="1642"/>
      <c r="E37" s="1648"/>
      <c r="F37" s="1648"/>
      <c r="G37" s="1648"/>
      <c r="H37" s="1648"/>
      <c r="I37" s="1628"/>
      <c r="J37" s="1644"/>
      <c r="K37" s="108">
        <f>SUM(K7:K22)+SUM(K28:K35)</f>
        <v>46508203</v>
      </c>
      <c r="L37" s="1645">
        <f>SUM(L7:L22)+SUM(L28:L35)</f>
        <v>68454955</v>
      </c>
      <c r="M37" s="110">
        <f>SUM(M7:M22)+SUM(M28:M35)</f>
        <v>65507957.5</v>
      </c>
      <c r="N37" s="108">
        <f>SUM(N7:N22)+SUM(N28:N35)</f>
        <v>68590434.950000003</v>
      </c>
      <c r="O37" s="1645">
        <f>SUM(O7:O22)+SUM(O28:O35)</f>
        <v>72705861.050000012</v>
      </c>
      <c r="P37" s="472"/>
      <c r="Q37" s="119"/>
    </row>
    <row r="38" spans="1:17" s="586" customFormat="1" ht="11.25" customHeight="1" x14ac:dyDescent="0.25">
      <c r="A38" s="1090" t="str">
        <f>head27a</f>
        <v>References</v>
      </c>
      <c r="C38" s="921"/>
      <c r="Q38" s="946"/>
    </row>
    <row r="39" spans="1:17" s="586" customFormat="1" ht="11.25" customHeight="1" x14ac:dyDescent="0.25">
      <c r="A39" s="1052" t="s">
        <v>1478</v>
      </c>
    </row>
    <row r="40" spans="1:17" s="586" customFormat="1" ht="11.25" customHeight="1" x14ac:dyDescent="0.25">
      <c r="A40" s="1052" t="s">
        <v>2148</v>
      </c>
    </row>
    <row r="41" spans="1:17" s="586" customFormat="1" ht="11.25" customHeight="1" x14ac:dyDescent="0.25">
      <c r="A41" s="1052" t="s">
        <v>1897</v>
      </c>
    </row>
    <row r="42" spans="1:17" s="586" customFormat="1" ht="11.25" customHeight="1" x14ac:dyDescent="0.25">
      <c r="A42" s="27" t="s">
        <v>1898</v>
      </c>
    </row>
    <row r="43" spans="1:17" ht="11.25" customHeight="1" x14ac:dyDescent="0.25">
      <c r="A43" s="27" t="s">
        <v>1970</v>
      </c>
      <c r="B43" s="27"/>
    </row>
    <row r="44" spans="1:17" x14ac:dyDescent="0.25">
      <c r="A44" s="27" t="s">
        <v>2145</v>
      </c>
      <c r="B44" s="27"/>
      <c r="J44" s="27" t="s">
        <v>523</v>
      </c>
      <c r="K44" s="240">
        <f>SUM(SA34a!E77+SA34b!E77)-'SA36'!K37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23" activePane="bottomRight" state="frozen"/>
      <selection pane="topRight"/>
      <selection pane="bottomLeft"/>
      <selection pane="bottomRight" activeCell="A8" sqref="A8"/>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LIM471 Ephraim Mogale - Supporting Table SA37 Projects delayed from previous financial year/s</v>
      </c>
      <c r="B1" s="1632"/>
      <c r="C1" s="25"/>
      <c r="D1" s="25"/>
      <c r="E1" s="25"/>
      <c r="F1" s="25"/>
      <c r="G1" s="25"/>
      <c r="H1" s="25"/>
      <c r="I1" s="25"/>
      <c r="J1" s="25"/>
      <c r="K1" s="25"/>
      <c r="L1" s="25"/>
      <c r="M1" s="25"/>
    </row>
    <row r="2" spans="1:13" ht="23.25" customHeight="1" x14ac:dyDescent="0.25">
      <c r="A2" s="2740" t="s">
        <v>920</v>
      </c>
      <c r="B2" s="1633" t="s">
        <v>1894</v>
      </c>
      <c r="C2" s="2743" t="s">
        <v>1305</v>
      </c>
      <c r="D2" s="2708" t="s">
        <v>1306</v>
      </c>
      <c r="E2" s="2708" t="s">
        <v>1972</v>
      </c>
      <c r="F2" s="2736" t="s">
        <v>1971</v>
      </c>
      <c r="G2" s="2689" t="s">
        <v>1974</v>
      </c>
      <c r="H2" s="2736" t="str">
        <f>Head47</f>
        <v>Previous target year to complete</v>
      </c>
      <c r="I2" s="2729" t="str">
        <f>Head2</f>
        <v>Current Year 2015/16</v>
      </c>
      <c r="J2" s="2651"/>
      <c r="K2" s="2650" t="str">
        <f>Head3</f>
        <v>2016/17 Medium Term Revenue &amp; Expenditure Framework</v>
      </c>
      <c r="L2" s="2651"/>
      <c r="M2" s="2652"/>
    </row>
    <row r="3" spans="1:13" ht="25.5" x14ac:dyDescent="0.25">
      <c r="A3" s="2741"/>
      <c r="B3" s="1641" t="s">
        <v>1848</v>
      </c>
      <c r="C3" s="2744"/>
      <c r="D3" s="2746" t="s">
        <v>1702</v>
      </c>
      <c r="E3" s="2746"/>
      <c r="F3" s="2742"/>
      <c r="G3" s="2748"/>
      <c r="H3" s="2742"/>
      <c r="I3" s="537" t="str">
        <f>Head6</f>
        <v>Original Budget</v>
      </c>
      <c r="J3" s="834" t="str">
        <f>Head8</f>
        <v>Full Year Forecast</v>
      </c>
      <c r="K3" s="29" t="str">
        <f>Head9</f>
        <v>Budget Year 2016/17</v>
      </c>
      <c r="L3" s="30" t="str">
        <f>Head10</f>
        <v>Budget Year +1 2017/18</v>
      </c>
      <c r="M3" s="31" t="str">
        <f>Head11</f>
        <v>Budget Year +2 2018/19</v>
      </c>
    </row>
    <row r="4" spans="1:13" ht="11.25" customHeight="1" x14ac:dyDescent="0.25">
      <c r="A4" s="58" t="s">
        <v>625</v>
      </c>
      <c r="B4" s="1634"/>
      <c r="C4" s="2745"/>
      <c r="D4" s="2709" t="s">
        <v>970</v>
      </c>
      <c r="E4" s="2709"/>
      <c r="F4" s="2747"/>
      <c r="G4" s="2690"/>
      <c r="H4" s="1772" t="s">
        <v>289</v>
      </c>
      <c r="I4" s="16"/>
      <c r="J4" s="17"/>
      <c r="K4" s="33"/>
      <c r="L4" s="16"/>
      <c r="M4" s="34"/>
    </row>
    <row r="5" spans="1:13" ht="11.25" customHeight="1" x14ac:dyDescent="0.25">
      <c r="A5" s="819" t="s">
        <v>1422</v>
      </c>
      <c r="B5" s="1635"/>
      <c r="C5" s="1629"/>
      <c r="D5" s="822"/>
      <c r="E5" s="823"/>
      <c r="F5" s="824"/>
      <c r="G5" s="1768"/>
      <c r="H5" s="835"/>
      <c r="I5" s="809"/>
      <c r="J5" s="836"/>
      <c r="K5" s="837"/>
      <c r="L5" s="809"/>
      <c r="M5" s="838"/>
    </row>
    <row r="6" spans="1:13" ht="11.25" customHeight="1" x14ac:dyDescent="0.25">
      <c r="A6" s="248" t="s">
        <v>1016</v>
      </c>
      <c r="B6" s="1636"/>
      <c r="C6" s="1630"/>
      <c r="D6" s="827"/>
      <c r="E6" s="828" t="s">
        <v>921</v>
      </c>
      <c r="F6" s="829" t="s">
        <v>921</v>
      </c>
      <c r="G6" s="1770"/>
      <c r="H6" s="839"/>
      <c r="I6" s="840"/>
      <c r="J6" s="841"/>
      <c r="K6" s="842"/>
      <c r="L6" s="840"/>
      <c r="M6" s="843"/>
    </row>
    <row r="7" spans="1:13" ht="11.25" customHeight="1" x14ac:dyDescent="0.25">
      <c r="A7" s="248"/>
      <c r="B7" s="1636"/>
      <c r="C7" s="1630"/>
      <c r="D7" s="827"/>
      <c r="E7" s="828"/>
      <c r="F7" s="829"/>
      <c r="G7" s="1770"/>
      <c r="H7" s="839"/>
      <c r="I7" s="840"/>
      <c r="J7" s="841"/>
      <c r="K7" s="842"/>
      <c r="L7" s="840"/>
      <c r="M7" s="843"/>
    </row>
    <row r="8" spans="1:13" ht="11.25" customHeight="1" x14ac:dyDescent="0.25">
      <c r="A8" s="2502"/>
      <c r="B8" s="2503"/>
      <c r="C8" s="2504"/>
      <c r="D8" s="2449"/>
      <c r="E8" s="2495"/>
      <c r="F8" s="2496"/>
      <c r="G8" s="2497"/>
      <c r="H8" s="2505"/>
      <c r="I8" s="2480"/>
      <c r="J8" s="2506"/>
      <c r="K8" s="2482"/>
      <c r="L8" s="2480"/>
      <c r="M8" s="2483"/>
    </row>
    <row r="9" spans="1:13" ht="11.25" customHeight="1" x14ac:dyDescent="0.25">
      <c r="A9" s="2418"/>
      <c r="B9" s="2507"/>
      <c r="C9" s="2508"/>
      <c r="D9" s="2447"/>
      <c r="E9" s="2495"/>
      <c r="F9" s="2496"/>
      <c r="G9" s="2497"/>
      <c r="H9" s="2365"/>
      <c r="I9" s="2088"/>
      <c r="J9" s="2089"/>
      <c r="K9" s="2107"/>
      <c r="L9" s="2088"/>
      <c r="M9" s="2106"/>
    </row>
    <row r="10" spans="1:13" ht="11.25" customHeight="1" x14ac:dyDescent="0.25">
      <c r="A10" s="2418"/>
      <c r="B10" s="2507"/>
      <c r="C10" s="2508"/>
      <c r="D10" s="2447"/>
      <c r="E10" s="2495"/>
      <c r="F10" s="2496"/>
      <c r="G10" s="2509"/>
      <c r="H10" s="2365"/>
      <c r="I10" s="2088"/>
      <c r="J10" s="2089"/>
      <c r="K10" s="2107"/>
      <c r="L10" s="2088"/>
      <c r="M10" s="2106"/>
    </row>
    <row r="11" spans="1:13" ht="11.25" customHeight="1" x14ac:dyDescent="0.25">
      <c r="A11" s="2502"/>
      <c r="B11" s="2503"/>
      <c r="C11" s="2508"/>
      <c r="D11" s="2447"/>
      <c r="E11" s="2495"/>
      <c r="F11" s="2496"/>
      <c r="G11" s="2497"/>
      <c r="H11" s="2365"/>
      <c r="I11" s="2088"/>
      <c r="J11" s="2089"/>
      <c r="K11" s="2107"/>
      <c r="L11" s="2088"/>
      <c r="M11" s="2106"/>
    </row>
    <row r="12" spans="1:13" ht="11.25" customHeight="1" x14ac:dyDescent="0.25">
      <c r="A12" s="2418"/>
      <c r="B12" s="2507"/>
      <c r="C12" s="2508"/>
      <c r="D12" s="2447"/>
      <c r="E12" s="2495"/>
      <c r="F12" s="2496"/>
      <c r="G12" s="2497"/>
      <c r="H12" s="2365"/>
      <c r="I12" s="2088"/>
      <c r="J12" s="2510"/>
      <c r="K12" s="2107"/>
      <c r="L12" s="2088"/>
      <c r="M12" s="2106"/>
    </row>
    <row r="13" spans="1:13" ht="11.25" customHeight="1" x14ac:dyDescent="0.25">
      <c r="A13" s="2418"/>
      <c r="B13" s="2507"/>
      <c r="C13" s="2508"/>
      <c r="D13" s="2447"/>
      <c r="E13" s="2495"/>
      <c r="F13" s="2496"/>
      <c r="G13" s="2497"/>
      <c r="H13" s="2365"/>
      <c r="I13" s="2088"/>
      <c r="J13" s="2089"/>
      <c r="K13" s="2107"/>
      <c r="L13" s="2088"/>
      <c r="M13" s="2106"/>
    </row>
    <row r="14" spans="1:13" ht="11.25" customHeight="1" x14ac:dyDescent="0.25">
      <c r="A14" s="2511"/>
      <c r="B14" s="2512"/>
      <c r="C14" s="2513"/>
      <c r="D14" s="2514"/>
      <c r="E14" s="2515"/>
      <c r="F14" s="2516"/>
      <c r="G14" s="2517"/>
      <c r="H14" s="2518"/>
      <c r="I14" s="2127"/>
      <c r="J14" s="2519"/>
      <c r="K14" s="2485"/>
      <c r="L14" s="2127"/>
      <c r="M14" s="2130"/>
    </row>
    <row r="15" spans="1:13" ht="11.25" customHeight="1" x14ac:dyDescent="0.25">
      <c r="A15" s="143" t="s">
        <v>16</v>
      </c>
      <c r="B15" s="1637"/>
      <c r="C15" s="1631"/>
      <c r="D15" s="712"/>
      <c r="E15" s="833"/>
      <c r="F15" s="1741"/>
      <c r="G15" s="1773"/>
      <c r="H15" s="498"/>
      <c r="I15" s="85"/>
      <c r="J15" s="435"/>
      <c r="K15" s="129"/>
      <c r="L15" s="85"/>
      <c r="M15" s="142"/>
    </row>
    <row r="16" spans="1:13" ht="11.25" customHeight="1" x14ac:dyDescent="0.25">
      <c r="A16" s="248" t="s">
        <v>1428</v>
      </c>
      <c r="B16" s="1636"/>
      <c r="C16" s="1631"/>
      <c r="D16" s="712"/>
      <c r="E16" s="833"/>
      <c r="F16" s="1741"/>
      <c r="G16" s="1773"/>
      <c r="H16" s="498"/>
      <c r="I16" s="85"/>
      <c r="J16" s="435"/>
      <c r="K16" s="129"/>
      <c r="L16" s="85"/>
      <c r="M16" s="142"/>
    </row>
    <row r="17" spans="1:13" ht="11.25" customHeight="1" x14ac:dyDescent="0.25">
      <c r="A17" s="844"/>
      <c r="B17" s="1638"/>
      <c r="C17" s="1631"/>
      <c r="D17" s="712"/>
      <c r="E17" s="833"/>
      <c r="F17" s="1741"/>
      <c r="G17" s="1773"/>
      <c r="H17" s="498"/>
      <c r="I17" s="85"/>
      <c r="J17" s="435"/>
      <c r="K17" s="129"/>
      <c r="L17" s="85"/>
      <c r="M17" s="142"/>
    </row>
    <row r="18" spans="1:13" ht="11.25" customHeight="1" x14ac:dyDescent="0.25">
      <c r="A18" s="2520" t="s">
        <v>1429</v>
      </c>
      <c r="B18" s="2521"/>
      <c r="C18" s="2508"/>
      <c r="D18" s="2447"/>
      <c r="E18" s="2495"/>
      <c r="F18" s="2496"/>
      <c r="G18" s="2497"/>
      <c r="H18" s="2365"/>
      <c r="I18" s="2088"/>
      <c r="J18" s="2089"/>
      <c r="K18" s="2107"/>
      <c r="L18" s="2088"/>
      <c r="M18" s="2106"/>
    </row>
    <row r="19" spans="1:13" ht="11.25" customHeight="1" x14ac:dyDescent="0.25">
      <c r="A19" s="2445" t="s">
        <v>1305</v>
      </c>
      <c r="B19" s="2522"/>
      <c r="C19" s="2508"/>
      <c r="D19" s="2447"/>
      <c r="E19" s="2495"/>
      <c r="F19" s="2496"/>
      <c r="G19" s="2497"/>
      <c r="H19" s="2365"/>
      <c r="I19" s="2088"/>
      <c r="J19" s="2089"/>
      <c r="K19" s="2107"/>
      <c r="L19" s="2088"/>
      <c r="M19" s="2106"/>
    </row>
    <row r="20" spans="1:13" ht="11.25" customHeight="1" x14ac:dyDescent="0.25">
      <c r="A20" s="2446"/>
      <c r="B20" s="2523"/>
      <c r="C20" s="2508"/>
      <c r="D20" s="2447"/>
      <c r="E20" s="2495"/>
      <c r="F20" s="2496"/>
      <c r="G20" s="2497"/>
      <c r="H20" s="2365"/>
      <c r="I20" s="2088"/>
      <c r="J20" s="2089"/>
      <c r="K20" s="2107"/>
      <c r="L20" s="2088"/>
      <c r="M20" s="2106"/>
    </row>
    <row r="21" spans="1:13" ht="11.25" customHeight="1" x14ac:dyDescent="0.25">
      <c r="A21" s="2418"/>
      <c r="B21" s="2507"/>
      <c r="C21" s="2508"/>
      <c r="D21" s="2447"/>
      <c r="E21" s="2495"/>
      <c r="F21" s="2496"/>
      <c r="G21" s="2497"/>
      <c r="H21" s="2365"/>
      <c r="I21" s="2088"/>
      <c r="J21" s="2089"/>
      <c r="K21" s="2107"/>
      <c r="L21" s="2088"/>
      <c r="M21" s="2106"/>
    </row>
    <row r="22" spans="1:13" ht="11.25" customHeight="1" x14ac:dyDescent="0.25">
      <c r="A22" s="2418"/>
      <c r="B22" s="2507"/>
      <c r="C22" s="2508"/>
      <c r="D22" s="2447"/>
      <c r="E22" s="2495"/>
      <c r="F22" s="2496"/>
      <c r="G22" s="2497"/>
      <c r="H22" s="2365"/>
      <c r="I22" s="2088"/>
      <c r="J22" s="2089"/>
      <c r="K22" s="2107"/>
      <c r="L22" s="2088"/>
      <c r="M22" s="2106"/>
    </row>
    <row r="23" spans="1:13" ht="11.25" customHeight="1" x14ac:dyDescent="0.25">
      <c r="A23" s="2524"/>
      <c r="B23" s="2525"/>
      <c r="C23" s="2526"/>
      <c r="D23" s="2527"/>
      <c r="E23" s="2528"/>
      <c r="F23" s="2529"/>
      <c r="G23" s="2530"/>
      <c r="H23" s="2531"/>
      <c r="I23" s="2164"/>
      <c r="J23" s="2532"/>
      <c r="K23" s="2166"/>
      <c r="L23" s="2164"/>
      <c r="M23" s="2165"/>
    </row>
    <row r="24" spans="1:13" ht="11.25" customHeight="1" x14ac:dyDescent="0.25">
      <c r="A24" s="185" t="str">
        <f>head27a</f>
        <v>References</v>
      </c>
      <c r="B24" s="1639"/>
      <c r="E24" s="124"/>
      <c r="F24" s="124"/>
      <c r="G24" s="124"/>
      <c r="H24" s="124"/>
      <c r="I24" s="124"/>
      <c r="J24" s="124"/>
    </row>
    <row r="25" spans="1:13" ht="11.25" customHeight="1" x14ac:dyDescent="0.25">
      <c r="A25" s="186" t="s">
        <v>1576</v>
      </c>
      <c r="B25" s="1640"/>
    </row>
    <row r="26" spans="1:13" ht="11.25" customHeight="1" x14ac:dyDescent="0.25">
      <c r="A26" s="186" t="s">
        <v>830</v>
      </c>
      <c r="B26" s="1640"/>
    </row>
    <row r="27" spans="1:13" ht="11.25" customHeight="1" x14ac:dyDescent="0.25">
      <c r="A27" s="186" t="s">
        <v>1897</v>
      </c>
      <c r="B27" s="1640"/>
    </row>
    <row r="28" spans="1:13" ht="11.25" customHeight="1" x14ac:dyDescent="0.25">
      <c r="A28" s="27" t="s">
        <v>1973</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H9" sqref="H9"/>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55" t="str">
        <f>muni&amp;" - "&amp;Approve1</f>
        <v>LIM471 Ephraim Mogale - Table A1 Budget Summary</v>
      </c>
      <c r="B1" s="2656"/>
      <c r="C1" s="2656"/>
      <c r="D1" s="26"/>
      <c r="E1" s="26"/>
      <c r="F1" s="26"/>
      <c r="G1" s="26"/>
      <c r="H1" s="26"/>
      <c r="I1" s="26"/>
      <c r="J1" s="26"/>
      <c r="K1" s="26"/>
    </row>
    <row r="2" spans="1:12" ht="28.5" customHeight="1" x14ac:dyDescent="0.25">
      <c r="A2" s="874" t="str">
        <f>desc</f>
        <v>Description</v>
      </c>
      <c r="B2" s="22" t="str">
        <f>head1b</f>
        <v>2012/13</v>
      </c>
      <c r="C2" s="28" t="str">
        <f>head1A</f>
        <v>2013/14</v>
      </c>
      <c r="D2" s="24" t="str">
        <f>Head1</f>
        <v>2014/15</v>
      </c>
      <c r="E2" s="2653" t="str">
        <f>Head2</f>
        <v>Current Year 2015/16</v>
      </c>
      <c r="F2" s="2654"/>
      <c r="G2" s="2654"/>
      <c r="H2" s="2654"/>
      <c r="I2" s="2650" t="str">
        <f>Head3</f>
        <v>2016/17 Medium Term Revenue &amp; Expenditure Framework</v>
      </c>
      <c r="J2" s="2651"/>
      <c r="K2" s="2652"/>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92" t="s">
        <v>1313</v>
      </c>
      <c r="B4" s="36"/>
      <c r="C4" s="37"/>
      <c r="D4" s="38"/>
      <c r="E4" s="36"/>
      <c r="F4" s="37"/>
      <c r="G4" s="38"/>
      <c r="H4" s="39"/>
      <c r="I4" s="36"/>
      <c r="J4" s="37"/>
      <c r="K4" s="38"/>
    </row>
    <row r="5" spans="1:12" ht="11.25" customHeight="1" x14ac:dyDescent="0.25">
      <c r="A5" s="773" t="s">
        <v>516</v>
      </c>
      <c r="B5" s="990">
        <f>'A4-FinPerf RE'!C5+'A4-FinPerf RE'!C6</f>
        <v>12251690.26</v>
      </c>
      <c r="C5" s="85">
        <f>'A4-FinPerf RE'!D5+'A4-FinPerf RE'!D6</f>
        <v>29830570</v>
      </c>
      <c r="D5" s="435">
        <f>'A4-FinPerf RE'!E5+'A4-FinPerf RE'!E6</f>
        <v>25771581</v>
      </c>
      <c r="E5" s="89">
        <f>'A4-FinPerf RE'!F5+'A4-FinPerf RE'!F6</f>
        <v>26430545.8002</v>
      </c>
      <c r="F5" s="85">
        <f>'A4-FinPerf RE'!G5+'A4-FinPerf RE'!G6</f>
        <v>26766355.149999999</v>
      </c>
      <c r="G5" s="436">
        <f>'A4-FinPerf RE'!H5+'A4-FinPerf RE'!H6</f>
        <v>26766355.149999999</v>
      </c>
      <c r="H5" s="88">
        <f>'A4-FinPerf RE'!I5+'A4-FinPerf RE'!I6</f>
        <v>26766355.149999999</v>
      </c>
      <c r="I5" s="89">
        <f>'A4-FinPerf RE'!J5+'A4-FinPerf RE'!J6</f>
        <v>28372336.459000003</v>
      </c>
      <c r="J5" s="85">
        <f>'A4-FinPerf RE'!K5+'A4-FinPerf RE'!K6</f>
        <v>30074676.646540001</v>
      </c>
      <c r="K5" s="436">
        <f>'A4-FinPerf RE'!L5+'A4-FinPerf RE'!L6</f>
        <v>31879157.245332401</v>
      </c>
      <c r="L5" s="247"/>
    </row>
    <row r="6" spans="1:12" ht="11.25" customHeight="1" x14ac:dyDescent="0.25">
      <c r="A6" s="773" t="s">
        <v>1535</v>
      </c>
      <c r="B6" s="85">
        <f>SUM('A4-FinPerf RE'!C7:C11)</f>
        <v>38606684.710000001</v>
      </c>
      <c r="C6" s="85">
        <f>SUM('A4-FinPerf RE'!D7:D11)</f>
        <v>36994241</v>
      </c>
      <c r="D6" s="435">
        <f>SUM('A4-FinPerf RE'!E7:E11)</f>
        <v>40764929</v>
      </c>
      <c r="E6" s="89">
        <f>SUM('A4-FinPerf RE'!F7:F11)</f>
        <v>54223957.120000005</v>
      </c>
      <c r="F6" s="85">
        <f>SUM('A4-FinPerf RE'!G7:G11)</f>
        <v>54223957.120000005</v>
      </c>
      <c r="G6" s="436">
        <f>SUM('A4-FinPerf RE'!H7:H11)</f>
        <v>54223957.120000005</v>
      </c>
      <c r="H6" s="88">
        <f>SUM('A4-FinPerf RE'!I7:I11)</f>
        <v>54223957.120000005</v>
      </c>
      <c r="I6" s="89">
        <f>SUM('A4-FinPerf RE'!J7:J11)</f>
        <v>58722181.671920009</v>
      </c>
      <c r="J6" s="85">
        <f>SUM('A4-FinPerf RE'!K7:K11)</f>
        <v>62245512.572235197</v>
      </c>
      <c r="K6" s="436">
        <f>SUM('A4-FinPerf RE'!L7:L11)</f>
        <v>65980243.326569311</v>
      </c>
    </row>
    <row r="7" spans="1:12" ht="11.25" customHeight="1" x14ac:dyDescent="0.25">
      <c r="A7" s="773" t="s">
        <v>477</v>
      </c>
      <c r="B7" s="85">
        <f>'A4-FinPerf RE'!C13</f>
        <v>5432876</v>
      </c>
      <c r="C7" s="85">
        <f>'A4-FinPerf RE'!D13</f>
        <v>1903903</v>
      </c>
      <c r="D7" s="435">
        <f>'A4-FinPerf RE'!E13</f>
        <v>2451977</v>
      </c>
      <c r="E7" s="89">
        <f>'A4-FinPerf RE'!F13</f>
        <v>1170377.8</v>
      </c>
      <c r="F7" s="85">
        <f>'A4-FinPerf RE'!G13</f>
        <v>1170377.8</v>
      </c>
      <c r="G7" s="436">
        <f>'A4-FinPerf RE'!H13</f>
        <v>1170377.8</v>
      </c>
      <c r="H7" s="88">
        <f>'A4-FinPerf RE'!I13</f>
        <v>1170377.8</v>
      </c>
      <c r="I7" s="89">
        <f>'A4-FinPerf RE'!J13</f>
        <v>1240600.4680000001</v>
      </c>
      <c r="J7" s="85">
        <f>'A4-FinPerf RE'!K13</f>
        <v>1315036.49608</v>
      </c>
      <c r="K7" s="436">
        <f>'A4-FinPerf RE'!L13</f>
        <v>1393938.6858448</v>
      </c>
    </row>
    <row r="8" spans="1:12" ht="11.25" customHeight="1" x14ac:dyDescent="0.25">
      <c r="A8" s="773" t="s">
        <v>35</v>
      </c>
      <c r="B8" s="85">
        <f>'A4-FinPerf RE'!C19</f>
        <v>76140048</v>
      </c>
      <c r="C8" s="85">
        <f>'A4-FinPerf RE'!D19</f>
        <v>81383968</v>
      </c>
      <c r="D8" s="435">
        <f>'A4-FinPerf RE'!E19</f>
        <v>94712291</v>
      </c>
      <c r="E8" s="89">
        <f>'A4-FinPerf RE'!F19</f>
        <v>122308000</v>
      </c>
      <c r="F8" s="85">
        <f>'A4-FinPerf RE'!G19</f>
        <v>122308000</v>
      </c>
      <c r="G8" s="436">
        <f>'A4-FinPerf RE'!H19</f>
        <v>122308000</v>
      </c>
      <c r="H8" s="88">
        <f>'A4-FinPerf RE'!I19</f>
        <v>122308000</v>
      </c>
      <c r="I8" s="89">
        <f>'A4-FinPerf RE'!J19</f>
        <v>121374000</v>
      </c>
      <c r="J8" s="85">
        <f>'A4-FinPerf RE'!K19</f>
        <v>129936000</v>
      </c>
      <c r="K8" s="436">
        <f>'A4-FinPerf RE'!L19</f>
        <v>137610000</v>
      </c>
    </row>
    <row r="9" spans="1:12" ht="11.25" customHeight="1" x14ac:dyDescent="0.25">
      <c r="A9" s="773" t="s">
        <v>203</v>
      </c>
      <c r="B9" s="85">
        <f>'A4-FinPerf RE'!C12+'A4-FinPerf RE'!C14+'A4-FinPerf RE'!C15+'A4-FinPerf RE'!C16+'A4-FinPerf RE'!C17+'A4-FinPerf RE'!C18+'A4-FinPerf RE'!C20+'A4-FinPerf RE'!C21</f>
        <v>19051640</v>
      </c>
      <c r="C9" s="85">
        <f>'A4-FinPerf RE'!D12+'A4-FinPerf RE'!D14+'A4-FinPerf RE'!D15+'A4-FinPerf RE'!D16+'A4-FinPerf RE'!D17+'A4-FinPerf RE'!D18+'A4-FinPerf RE'!D20+'A4-FinPerf RE'!D21</f>
        <v>12527238</v>
      </c>
      <c r="D9" s="435">
        <f>'A4-FinPerf RE'!E12+'A4-FinPerf RE'!E14+'A4-FinPerf RE'!E15+'A4-FinPerf RE'!E16+'A4-FinPerf RE'!E17+'A4-FinPerf RE'!E18+'A4-FinPerf RE'!E20+'A4-FinPerf RE'!E21</f>
        <v>23445620</v>
      </c>
      <c r="E9" s="89">
        <f>'A4-FinPerf RE'!F12+'A4-FinPerf RE'!F14+'A4-FinPerf RE'!F15+'A4-FinPerf RE'!F16+'A4-FinPerf RE'!F17+'A4-FinPerf RE'!F18+'A4-FinPerf RE'!F20+'A4-FinPerf RE'!F21</f>
        <v>20636469.969999999</v>
      </c>
      <c r="F9" s="85">
        <f>'A4-FinPerf RE'!G12+'A4-FinPerf RE'!G14+'A4-FinPerf RE'!G15+'A4-FinPerf RE'!G16+'A4-FinPerf RE'!G17+'A4-FinPerf RE'!G18+'A4-FinPerf RE'!G20+'A4-FinPerf RE'!G21</f>
        <v>19256289.529999997</v>
      </c>
      <c r="G9" s="436">
        <f>'A4-FinPerf RE'!H12+'A4-FinPerf RE'!H14+'A4-FinPerf RE'!H15+'A4-FinPerf RE'!H16+'A4-FinPerf RE'!H17+'A4-FinPerf RE'!H18+'A4-FinPerf RE'!H20+'A4-FinPerf RE'!H21</f>
        <v>19256289.529999997</v>
      </c>
      <c r="H9" s="88">
        <f>'A4-FinPerf RE'!I12+'A4-FinPerf RE'!I14+'A4-FinPerf RE'!I15+'A4-FinPerf RE'!I16+'A4-FinPerf RE'!I17+'A4-FinPerf RE'!I18+'A4-FinPerf RE'!I20+'A4-FinPerf RE'!I21</f>
        <v>19256289.529999997</v>
      </c>
      <c r="I9" s="89">
        <f>'A4-FinPerf RE'!J12+'A4-FinPerf RE'!J14+'A4-FinPerf RE'!J15+'A4-FinPerf RE'!J16+'A4-FinPerf RE'!J17+'A4-FinPerf RE'!J18+'A4-FinPerf RE'!J20+'A4-FinPerf RE'!J21</f>
        <v>20142746.764399998</v>
      </c>
      <c r="J9" s="85">
        <f>'A4-FinPerf RE'!K12+'A4-FinPerf RE'!K14+'A4-FinPerf RE'!K15+'A4-FinPerf RE'!K16+'A4-FinPerf RE'!K17+'A4-FinPerf RE'!K18+'A4-FinPerf RE'!K20+'A4-FinPerf RE'!K21</f>
        <v>21351311.660064001</v>
      </c>
      <c r="K9" s="436">
        <f>'A4-FinPerf RE'!L12+'A4-FinPerf RE'!L14+'A4-FinPerf RE'!L15+'A4-FinPerf RE'!L16+'A4-FinPerf RE'!L17+'A4-FinPerf RE'!L18+'A4-FinPerf RE'!L20+'A4-FinPerf RE'!L21</f>
        <v>22632390.800067842</v>
      </c>
    </row>
    <row r="10" spans="1:12" ht="25.5" customHeight="1" x14ac:dyDescent="0.25">
      <c r="A10" s="175" t="str">
        <f>'A4-FinPerf RE'!A22</f>
        <v>Total Revenue (excluding capital transfers and contributions)</v>
      </c>
      <c r="B10" s="1196">
        <f t="shared" ref="B10:K10" si="0">SUM(B5:B9)</f>
        <v>151482938.97</v>
      </c>
      <c r="C10" s="1196">
        <f t="shared" si="0"/>
        <v>162639920</v>
      </c>
      <c r="D10" s="1197">
        <f t="shared" si="0"/>
        <v>187146398</v>
      </c>
      <c r="E10" s="1195">
        <f t="shared" si="0"/>
        <v>224769350.6902</v>
      </c>
      <c r="F10" s="1196">
        <f t="shared" si="0"/>
        <v>223724979.59999999</v>
      </c>
      <c r="G10" s="1198">
        <f t="shared" si="0"/>
        <v>223724979.59999999</v>
      </c>
      <c r="H10" s="1199">
        <f t="shared" si="0"/>
        <v>223724979.59999999</v>
      </c>
      <c r="I10" s="1195">
        <f t="shared" si="0"/>
        <v>229851865.36331999</v>
      </c>
      <c r="J10" s="1196">
        <f t="shared" si="0"/>
        <v>244922537.37491921</v>
      </c>
      <c r="K10" s="1198">
        <f t="shared" si="0"/>
        <v>259495730.05781436</v>
      </c>
    </row>
    <row r="11" spans="1:12" ht="11.25" customHeight="1" x14ac:dyDescent="0.25">
      <c r="A11" s="773" t="s">
        <v>469</v>
      </c>
      <c r="B11" s="85">
        <f>'A4-FinPerf RE'!C25</f>
        <v>41720983.379999995</v>
      </c>
      <c r="C11" s="85">
        <f>'A4-FinPerf RE'!D25</f>
        <v>49251332</v>
      </c>
      <c r="D11" s="435">
        <f>'A4-FinPerf RE'!E25</f>
        <v>53150282</v>
      </c>
      <c r="E11" s="89">
        <f>'A4-FinPerf RE'!F25</f>
        <v>65742054.199999996</v>
      </c>
      <c r="F11" s="85">
        <f>'A4-FinPerf RE'!G25</f>
        <v>62236745.249999985</v>
      </c>
      <c r="G11" s="436">
        <f>'A4-FinPerf RE'!H25</f>
        <v>62236745.249999985</v>
      </c>
      <c r="H11" s="88">
        <f>'A4-FinPerf RE'!I25</f>
        <v>62236745.249999985</v>
      </c>
      <c r="I11" s="89">
        <f>'A4-FinPerf RE'!J25</f>
        <v>70709750.819999993</v>
      </c>
      <c r="J11" s="85">
        <f>'A4-FinPerf RE'!K25</f>
        <v>74952335.86999999</v>
      </c>
      <c r="K11" s="436">
        <f>'A4-FinPerf RE'!L25</f>
        <v>79449476.019999996</v>
      </c>
    </row>
    <row r="12" spans="1:12" ht="11.25" customHeight="1" x14ac:dyDescent="0.25">
      <c r="A12" s="773" t="s">
        <v>505</v>
      </c>
      <c r="B12" s="85">
        <f>'A4-FinPerf RE'!C26</f>
        <v>9739948</v>
      </c>
      <c r="C12" s="85">
        <f>'A4-FinPerf RE'!D26</f>
        <v>9879963</v>
      </c>
      <c r="D12" s="435">
        <f>'A4-FinPerf RE'!E26</f>
        <v>10343455</v>
      </c>
      <c r="E12" s="89">
        <f>'A4-FinPerf RE'!F26</f>
        <v>11002969.83</v>
      </c>
      <c r="F12" s="85">
        <f>'A4-FinPerf RE'!G26</f>
        <v>11002969.83</v>
      </c>
      <c r="G12" s="436">
        <f>'A4-FinPerf RE'!H26</f>
        <v>11002969.83</v>
      </c>
      <c r="H12" s="88">
        <f>'A4-FinPerf RE'!I26</f>
        <v>11002969.83</v>
      </c>
      <c r="I12" s="89">
        <f>'A4-FinPerf RE'!J26</f>
        <v>11663148.02</v>
      </c>
      <c r="J12" s="85">
        <f>'A4-FinPerf RE'!K26</f>
        <v>12362936.9</v>
      </c>
      <c r="K12" s="436">
        <f>'A4-FinPerf RE'!L26</f>
        <v>13104713.119999999</v>
      </c>
    </row>
    <row r="13" spans="1:12" ht="11.25" customHeight="1" x14ac:dyDescent="0.25">
      <c r="A13" s="773" t="s">
        <v>1430</v>
      </c>
      <c r="B13" s="85">
        <f>'A4-FinPerf RE'!C28</f>
        <v>37802336</v>
      </c>
      <c r="C13" s="85">
        <f>'A4-FinPerf RE'!D28</f>
        <v>37960565</v>
      </c>
      <c r="D13" s="435">
        <f>'A4-FinPerf RE'!E28</f>
        <v>40721576</v>
      </c>
      <c r="E13" s="89">
        <f>'A4-FinPerf RE'!F28</f>
        <v>42400000</v>
      </c>
      <c r="F13" s="85">
        <f>'A4-FinPerf RE'!G28</f>
        <v>42400000</v>
      </c>
      <c r="G13" s="436">
        <f>'A4-FinPerf RE'!H28</f>
        <v>42400000</v>
      </c>
      <c r="H13" s="88">
        <f>'A4-FinPerf RE'!I28</f>
        <v>42400000</v>
      </c>
      <c r="I13" s="89">
        <f>'A4-FinPerf RE'!J28</f>
        <v>44944000</v>
      </c>
      <c r="J13" s="85">
        <f>'A4-FinPerf RE'!K28</f>
        <v>47640640</v>
      </c>
      <c r="K13" s="436">
        <f>'A4-FinPerf RE'!L28</f>
        <v>50499078.399999999</v>
      </c>
    </row>
    <row r="14" spans="1:12" ht="11.25" customHeight="1" x14ac:dyDescent="0.25">
      <c r="A14" s="773" t="s">
        <v>1488</v>
      </c>
      <c r="B14" s="85">
        <f>'A4-FinPerf RE'!C29</f>
        <v>0</v>
      </c>
      <c r="C14" s="85">
        <f>'A4-FinPerf RE'!D29</f>
        <v>1432117</v>
      </c>
      <c r="D14" s="435">
        <f>'A4-FinPerf RE'!E29</f>
        <v>2042079</v>
      </c>
      <c r="E14" s="89">
        <f>'A4-FinPerf RE'!F29</f>
        <v>752812</v>
      </c>
      <c r="F14" s="85">
        <f>'A4-FinPerf RE'!G29</f>
        <v>752812</v>
      </c>
      <c r="G14" s="436">
        <f>'A4-FinPerf RE'!H29</f>
        <v>752812</v>
      </c>
      <c r="H14" s="88">
        <f>'A4-FinPerf RE'!I29</f>
        <v>752812</v>
      </c>
      <c r="I14" s="89">
        <f>'A4-FinPerf RE'!J29</f>
        <v>797980.72</v>
      </c>
      <c r="J14" s="85">
        <f>'A4-FinPerf RE'!K29</f>
        <v>845859.56319999998</v>
      </c>
      <c r="K14" s="436">
        <f>'A4-FinPerf RE'!L29</f>
        <v>896611.13699199993</v>
      </c>
    </row>
    <row r="15" spans="1:12" ht="11.25" customHeight="1" x14ac:dyDescent="0.25">
      <c r="A15" s="773" t="s">
        <v>476</v>
      </c>
      <c r="B15" s="85">
        <f>'A4-FinPerf RE'!C30+'A4-FinPerf RE'!C31</f>
        <v>26569470.609999999</v>
      </c>
      <c r="C15" s="85">
        <f>'A4-FinPerf RE'!D30+'A4-FinPerf RE'!D31</f>
        <v>30724568</v>
      </c>
      <c r="D15" s="435">
        <f>'A4-FinPerf RE'!E30+'A4-FinPerf RE'!E31</f>
        <v>31454440</v>
      </c>
      <c r="E15" s="89">
        <f>'A4-FinPerf RE'!F30+'A4-FinPerf RE'!F31</f>
        <v>40766753.409999996</v>
      </c>
      <c r="F15" s="85">
        <f>'A4-FinPerf RE'!G30+'A4-FinPerf RE'!G31</f>
        <v>39950483.490000002</v>
      </c>
      <c r="G15" s="436">
        <f>'A4-FinPerf RE'!H30+'A4-FinPerf RE'!H31</f>
        <v>39950483.490000002</v>
      </c>
      <c r="H15" s="88">
        <f>'A4-FinPerf RE'!I30+'A4-FinPerf RE'!I31</f>
        <v>39950483.490000002</v>
      </c>
      <c r="I15" s="89">
        <f>'A4-FinPerf RE'!J30+'A4-FinPerf RE'!J31</f>
        <v>42873152.425360002</v>
      </c>
      <c r="J15" s="85">
        <f>'A4-FinPerf RE'!K30+'A4-FinPerf RE'!K31</f>
        <v>45445541.570881605</v>
      </c>
      <c r="K15" s="436">
        <f>'A4-FinPerf RE'!L30+'A4-FinPerf RE'!L31</f>
        <v>48172274.065134503</v>
      </c>
    </row>
    <row r="16" spans="1:12" ht="11.25" customHeight="1" x14ac:dyDescent="0.25">
      <c r="A16" s="1382" t="s">
        <v>742</v>
      </c>
      <c r="B16" s="85">
        <f>'A4-FinPerf RE'!C33</f>
        <v>0</v>
      </c>
      <c r="C16" s="85">
        <f>'A4-FinPerf RE'!D33</f>
        <v>1173633</v>
      </c>
      <c r="D16" s="435">
        <f>'A4-FinPerf RE'!E33</f>
        <v>1587562</v>
      </c>
      <c r="E16" s="89">
        <f>'A4-FinPerf RE'!F33</f>
        <v>2467175</v>
      </c>
      <c r="F16" s="85">
        <f>'A4-FinPerf RE'!G33</f>
        <v>2467175</v>
      </c>
      <c r="G16" s="436">
        <f>'A4-FinPerf RE'!H33</f>
        <v>2467175</v>
      </c>
      <c r="H16" s="88">
        <f>'A4-FinPerf RE'!I33</f>
        <v>2467175</v>
      </c>
      <c r="I16" s="89">
        <f>'A4-FinPerf RE'!J33</f>
        <v>2749886.22</v>
      </c>
      <c r="J16" s="85">
        <f>'A4-FinPerf RE'!K33</f>
        <v>2914879.86</v>
      </c>
      <c r="K16" s="436">
        <f>'A4-FinPerf RE'!L33</f>
        <v>3089772.66</v>
      </c>
    </row>
    <row r="17" spans="1:12" ht="11.25" customHeight="1" x14ac:dyDescent="0.25">
      <c r="A17" s="773" t="s">
        <v>910</v>
      </c>
      <c r="B17" s="85">
        <f>'A4-FinPerf RE'!C27+'A4-FinPerf RE'!C32+'A4-FinPerf RE'!C34+'A4-FinPerf RE'!C35</f>
        <v>37572771.939999998</v>
      </c>
      <c r="C17" s="85">
        <f>'A4-FinPerf RE'!D27+'A4-FinPerf RE'!D32+'A4-FinPerf RE'!D34+'A4-FinPerf RE'!D35</f>
        <v>37842417</v>
      </c>
      <c r="D17" s="435">
        <f>'A4-FinPerf RE'!E27+'A4-FinPerf RE'!E32+'A4-FinPerf RE'!E34+'A4-FinPerf RE'!E35</f>
        <v>39574316</v>
      </c>
      <c r="E17" s="89">
        <f>'A4-FinPerf RE'!F27+'A4-FinPerf RE'!F32+'A4-FinPerf RE'!F34+'A4-FinPerf RE'!F35</f>
        <v>142285228.24000001</v>
      </c>
      <c r="F17" s="85">
        <f>'A4-FinPerf RE'!G27+'A4-FinPerf RE'!G32+'A4-FinPerf RE'!G34+'A4-FinPerf RE'!G35</f>
        <v>140025180.42000002</v>
      </c>
      <c r="G17" s="436">
        <f>'A4-FinPerf RE'!H27+'A4-FinPerf RE'!H32+'A4-FinPerf RE'!H34+'A4-FinPerf RE'!H35</f>
        <v>140025180.42000002</v>
      </c>
      <c r="H17" s="88">
        <f>'A4-FinPerf RE'!I27+'A4-FinPerf RE'!I32+'A4-FinPerf RE'!I34+'A4-FinPerf RE'!I35</f>
        <v>140025180.42000002</v>
      </c>
      <c r="I17" s="89">
        <f>'A4-FinPerf RE'!J27+'A4-FinPerf RE'!J32+'A4-FinPerf RE'!J34+'A4-FinPerf RE'!J35</f>
        <v>140288947.20499998</v>
      </c>
      <c r="J17" s="85">
        <f>'A4-FinPerf RE'!K27+'A4-FinPerf RE'!K32+'A4-FinPerf RE'!K34+'A4-FinPerf RE'!K35</f>
        <v>147091184.447</v>
      </c>
      <c r="K17" s="436">
        <f>'A4-FinPerf RE'!L27+'A4-FinPerf RE'!L32+'A4-FinPerf RE'!L34+'A4-FinPerf RE'!L35</f>
        <v>156800214.58019999</v>
      </c>
    </row>
    <row r="18" spans="1:12" ht="11.25" customHeight="1" x14ac:dyDescent="0.25">
      <c r="A18" s="774" t="str">
        <f>'A4-FinPerf RE'!A36</f>
        <v>Total Expenditure</v>
      </c>
      <c r="B18" s="1177">
        <f>SUM(B11:B17)</f>
        <v>153405509.93000001</v>
      </c>
      <c r="C18" s="1178">
        <f t="shared" ref="C18:K18" si="1">SUM(C11:C17)</f>
        <v>168264595</v>
      </c>
      <c r="D18" s="1179">
        <f t="shared" si="1"/>
        <v>178873710</v>
      </c>
      <c r="E18" s="1177">
        <f t="shared" si="1"/>
        <v>305416992.68000001</v>
      </c>
      <c r="F18" s="1178">
        <f t="shared" si="1"/>
        <v>298835365.99000001</v>
      </c>
      <c r="G18" s="1180">
        <f t="shared" si="1"/>
        <v>298835365.99000001</v>
      </c>
      <c r="H18" s="1181">
        <f t="shared" si="1"/>
        <v>298835365.99000001</v>
      </c>
      <c r="I18" s="1177">
        <f t="shared" si="1"/>
        <v>314026865.41035998</v>
      </c>
      <c r="J18" s="1178">
        <f t="shared" si="1"/>
        <v>331253378.21108162</v>
      </c>
      <c r="K18" s="1180">
        <f t="shared" si="1"/>
        <v>352012139.98232651</v>
      </c>
    </row>
    <row r="19" spans="1:12" ht="11.25" customHeight="1" x14ac:dyDescent="0.25">
      <c r="A19" s="774" t="str">
        <f>'A4-FinPerf RE'!A38</f>
        <v>Surplus/(Deficit)</v>
      </c>
      <c r="B19" s="1173">
        <f t="shared" ref="B19:K19" si="2">B10-B18</f>
        <v>-1922570.9600000083</v>
      </c>
      <c r="C19" s="243">
        <f t="shared" si="2"/>
        <v>-5624675</v>
      </c>
      <c r="D19" s="1174">
        <f t="shared" si="2"/>
        <v>8272688</v>
      </c>
      <c r="E19" s="1173">
        <f t="shared" si="2"/>
        <v>-80647641.989800006</v>
      </c>
      <c r="F19" s="243">
        <f t="shared" si="2"/>
        <v>-75110386.390000015</v>
      </c>
      <c r="G19" s="1175">
        <f t="shared" si="2"/>
        <v>-75110386.390000015</v>
      </c>
      <c r="H19" s="1176">
        <f t="shared" si="2"/>
        <v>-75110386.390000015</v>
      </c>
      <c r="I19" s="1173">
        <f t="shared" si="2"/>
        <v>-84175000.047039986</v>
      </c>
      <c r="J19" s="243">
        <f t="shared" si="2"/>
        <v>-86330840.836162418</v>
      </c>
      <c r="K19" s="1175">
        <f t="shared" si="2"/>
        <v>-92516409.924512148</v>
      </c>
    </row>
    <row r="20" spans="1:12" ht="11.25" customHeight="1" x14ac:dyDescent="0.25">
      <c r="A20" s="773" t="str">
        <f>'A4-FinPerf RE'!A39</f>
        <v>Transfers recognised - capital</v>
      </c>
      <c r="B20" s="89">
        <f>'A4-FinPerf RE'!C39</f>
        <v>27406238</v>
      </c>
      <c r="C20" s="85">
        <f>'A4-FinPerf RE'!D39</f>
        <v>17905588</v>
      </c>
      <c r="D20" s="435">
        <f>'A4-FinPerf RE'!E39</f>
        <v>31583815</v>
      </c>
      <c r="E20" s="89">
        <f>'A4-FinPerf RE'!F39</f>
        <v>32405000</v>
      </c>
      <c r="F20" s="85">
        <f>'A4-FinPerf RE'!G39</f>
        <v>35416882</v>
      </c>
      <c r="G20" s="436">
        <f>'A4-FinPerf RE'!H39</f>
        <v>35416882</v>
      </c>
      <c r="H20" s="88">
        <f>'A4-FinPerf RE'!I39</f>
        <v>35416882</v>
      </c>
      <c r="I20" s="89">
        <f>'A4-FinPerf RE'!J39</f>
        <v>31917000</v>
      </c>
      <c r="J20" s="85">
        <f>'A4-FinPerf RE'!K39</f>
        <v>34179000</v>
      </c>
      <c r="K20" s="436">
        <f>'A4-FinPerf RE'!L39</f>
        <v>36987000</v>
      </c>
      <c r="L20" s="247"/>
    </row>
    <row r="21" spans="1:12" ht="11.25" customHeight="1" x14ac:dyDescent="0.25">
      <c r="A21" s="773" t="s">
        <v>36</v>
      </c>
      <c r="B21" s="1182">
        <f>'A4-FinPerf RE'!C40+'A4-FinPerf RE'!C41</f>
        <v>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25483667.039999992</v>
      </c>
      <c r="C22" s="1214">
        <f t="shared" ref="C22:K22" si="3">C19+SUM(C20:C21)</f>
        <v>12280913</v>
      </c>
      <c r="D22" s="1215">
        <f t="shared" si="3"/>
        <v>39856503</v>
      </c>
      <c r="E22" s="1213">
        <f t="shared" si="3"/>
        <v>-48242641.989800006</v>
      </c>
      <c r="F22" s="1214">
        <f t="shared" si="3"/>
        <v>-39693504.390000015</v>
      </c>
      <c r="G22" s="1216">
        <f t="shared" si="3"/>
        <v>-39693504.390000015</v>
      </c>
      <c r="H22" s="1217">
        <f t="shared" si="3"/>
        <v>-39693504.390000015</v>
      </c>
      <c r="I22" s="1213">
        <f t="shared" si="3"/>
        <v>-52258000.047039986</v>
      </c>
      <c r="J22" s="1214">
        <f t="shared" si="3"/>
        <v>-52151840.836162418</v>
      </c>
      <c r="K22" s="1216">
        <f t="shared" si="3"/>
        <v>-55529409.924512148</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25483667.039999992</v>
      </c>
      <c r="C24" s="243">
        <f t="shared" ref="C24:K24" si="4">C22+C23</f>
        <v>12280913</v>
      </c>
      <c r="D24" s="1174">
        <f t="shared" si="4"/>
        <v>39856503</v>
      </c>
      <c r="E24" s="1173">
        <f t="shared" si="4"/>
        <v>-48242641.989800006</v>
      </c>
      <c r="F24" s="243">
        <f t="shared" si="4"/>
        <v>-39693504.390000015</v>
      </c>
      <c r="G24" s="1175">
        <f t="shared" si="4"/>
        <v>-39693504.390000015</v>
      </c>
      <c r="H24" s="1176">
        <f t="shared" si="4"/>
        <v>-39693504.390000015</v>
      </c>
      <c r="I24" s="1173">
        <f t="shared" si="4"/>
        <v>-52258000.047039986</v>
      </c>
      <c r="J24" s="243">
        <f t="shared" si="4"/>
        <v>-52151840.836162418</v>
      </c>
      <c r="K24" s="1175">
        <f t="shared" si="4"/>
        <v>-55529409.924512148</v>
      </c>
    </row>
    <row r="25" spans="1:12" ht="10.5" customHeight="1" x14ac:dyDescent="0.25">
      <c r="A25" s="1022"/>
      <c r="B25" s="36"/>
      <c r="C25" s="37"/>
      <c r="D25" s="38"/>
      <c r="E25" s="36"/>
      <c r="F25" s="37"/>
      <c r="G25" s="38"/>
      <c r="H25" s="39"/>
      <c r="I25" s="36"/>
      <c r="J25" s="37"/>
      <c r="K25" s="38"/>
    </row>
    <row r="26" spans="1:12" ht="11.25" customHeight="1" x14ac:dyDescent="0.25">
      <c r="A26" s="770" t="s">
        <v>1019</v>
      </c>
      <c r="B26" s="43"/>
      <c r="C26" s="44"/>
      <c r="D26" s="45"/>
      <c r="E26" s="43"/>
      <c r="F26" s="44"/>
      <c r="G26" s="45"/>
      <c r="H26" s="46"/>
      <c r="I26" s="43"/>
      <c r="J26" s="44"/>
      <c r="K26" s="45"/>
    </row>
    <row r="27" spans="1:12" ht="11.25" customHeight="1" x14ac:dyDescent="0.25">
      <c r="A27" s="774" t="s">
        <v>1443</v>
      </c>
      <c r="B27" s="990">
        <f>'A5-Capex'!C63</f>
        <v>56745000</v>
      </c>
      <c r="C27" s="85">
        <f>'A5-Capex'!D63</f>
        <v>34742308.82</v>
      </c>
      <c r="D27" s="435">
        <f>'A5-Capex'!E63</f>
        <v>46508203</v>
      </c>
      <c r="E27" s="89">
        <f>'A5-Capex'!F63</f>
        <v>70815213</v>
      </c>
      <c r="F27" s="85">
        <f>'A5-Capex'!G63</f>
        <v>68454956</v>
      </c>
      <c r="G27" s="436">
        <f>'A5-Capex'!H63</f>
        <v>68454956</v>
      </c>
      <c r="H27" s="88">
        <f>'A5-Capex'!I63</f>
        <v>68454956</v>
      </c>
      <c r="I27" s="89">
        <f>'A5-Capex'!J63</f>
        <v>65507958</v>
      </c>
      <c r="J27" s="85">
        <f>'A5-Capex'!K63</f>
        <v>68937415</v>
      </c>
      <c r="K27" s="436">
        <f>'A5-Capex'!L63</f>
        <v>73830919.75999999</v>
      </c>
    </row>
    <row r="28" spans="1:12" ht="11.25" customHeight="1" x14ac:dyDescent="0.25">
      <c r="A28" s="1383" t="s">
        <v>1291</v>
      </c>
      <c r="B28" s="990">
        <f>'A5-Capex'!C70</f>
        <v>27406237.710000001</v>
      </c>
      <c r="C28" s="85">
        <f>'A5-Capex'!D70</f>
        <v>17905587.59</v>
      </c>
      <c r="D28" s="435">
        <f>'A5-Capex'!E70</f>
        <v>31583815</v>
      </c>
      <c r="E28" s="89">
        <f>'A5-Capex'!F70</f>
        <v>32405000</v>
      </c>
      <c r="F28" s="85">
        <f>'A5-Capex'!G70</f>
        <v>32855000</v>
      </c>
      <c r="G28" s="436">
        <f>'A5-Capex'!H70</f>
        <v>32855000</v>
      </c>
      <c r="H28" s="88">
        <f>'A5-Capex'!I70</f>
        <v>32855000</v>
      </c>
      <c r="I28" s="89">
        <f>'A5-Capex'!J70</f>
        <v>30400000</v>
      </c>
      <c r="J28" s="85">
        <f>'A5-Capex'!K70</f>
        <v>32570980</v>
      </c>
      <c r="K28" s="436">
        <f>'A5-Capex'!L70</f>
        <v>35282498.799999997</v>
      </c>
    </row>
    <row r="29" spans="1:12" ht="11.25" customHeight="1" x14ac:dyDescent="0.25">
      <c r="A29" s="773" t="str">
        <f>'A5-Capex'!A71</f>
        <v>Public contributions &amp; donations</v>
      </c>
      <c r="B29" s="990">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29338762.289999999</v>
      </c>
      <c r="C31" s="85">
        <f>'A5-Capex'!D73</f>
        <v>16836721.23</v>
      </c>
      <c r="D31" s="435">
        <f>'A5-Capex'!E73</f>
        <v>14924388</v>
      </c>
      <c r="E31" s="89">
        <f>'A5-Capex'!F73</f>
        <v>38410213</v>
      </c>
      <c r="F31" s="85">
        <f>'A5-Capex'!G73</f>
        <v>35599956</v>
      </c>
      <c r="G31" s="436">
        <f>'A5-Capex'!H73</f>
        <v>35599956</v>
      </c>
      <c r="H31" s="88">
        <f>'A5-Capex'!I73</f>
        <v>35599956</v>
      </c>
      <c r="I31" s="89">
        <f>'A5-Capex'!J73</f>
        <v>35107957.5</v>
      </c>
      <c r="J31" s="85">
        <f>'A5-Capex'!K73</f>
        <v>36366434.950000003</v>
      </c>
      <c r="K31" s="436">
        <f>'A5-Capex'!L73</f>
        <v>38548421.049999997</v>
      </c>
    </row>
    <row r="32" spans="1:12" s="124" customFormat="1" ht="11.25" customHeight="1" x14ac:dyDescent="0.25">
      <c r="A32" s="774" t="s">
        <v>372</v>
      </c>
      <c r="B32" s="990">
        <f t="shared" ref="B32:K32" si="5">SUM(B28:B31)</f>
        <v>56745000</v>
      </c>
      <c r="C32" s="85">
        <f t="shared" si="5"/>
        <v>34742308.82</v>
      </c>
      <c r="D32" s="435">
        <f t="shared" si="5"/>
        <v>46508203</v>
      </c>
      <c r="E32" s="89">
        <f t="shared" si="5"/>
        <v>70815213</v>
      </c>
      <c r="F32" s="85">
        <f t="shared" si="5"/>
        <v>68454956</v>
      </c>
      <c r="G32" s="436">
        <f t="shared" si="5"/>
        <v>68454956</v>
      </c>
      <c r="H32" s="88">
        <f t="shared" si="5"/>
        <v>68454956</v>
      </c>
      <c r="I32" s="89">
        <f t="shared" si="5"/>
        <v>65507957.5</v>
      </c>
      <c r="J32" s="85">
        <f t="shared" si="5"/>
        <v>68937414.950000003</v>
      </c>
      <c r="K32" s="436">
        <f t="shared" si="5"/>
        <v>73830919.849999994</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35781729</v>
      </c>
      <c r="C35" s="85">
        <f>'A6-FinPos'!D12</f>
        <v>70098712</v>
      </c>
      <c r="D35" s="435">
        <f>'A6-FinPos'!E12</f>
        <v>106435612</v>
      </c>
      <c r="E35" s="89">
        <f>'A6-FinPos'!F12</f>
        <v>34000000</v>
      </c>
      <c r="F35" s="85">
        <f>'A6-FinPos'!G12</f>
        <v>34000000</v>
      </c>
      <c r="G35" s="436">
        <f>'A6-FinPos'!H12</f>
        <v>34000000</v>
      </c>
      <c r="H35" s="88">
        <f>'A6-FinPos'!I12</f>
        <v>34000000</v>
      </c>
      <c r="I35" s="89">
        <f>'A6-FinPos'!J12</f>
        <v>36040000</v>
      </c>
      <c r="J35" s="85">
        <f>'A6-FinPos'!K12</f>
        <v>38202400</v>
      </c>
      <c r="K35" s="436">
        <f>'A6-FinPos'!L12</f>
        <v>40494544</v>
      </c>
      <c r="O35" s="124"/>
    </row>
    <row r="36" spans="1:15" ht="11.25" customHeight="1" x14ac:dyDescent="0.25">
      <c r="A36" s="773" t="str">
        <f>'A6-FinPos'!A24</f>
        <v>Total non current assets</v>
      </c>
      <c r="B36" s="990">
        <f>'A6-FinPos'!C24</f>
        <v>107700171</v>
      </c>
      <c r="C36" s="85">
        <f>'A6-FinPos'!D24</f>
        <v>902621861</v>
      </c>
      <c r="D36" s="435">
        <f>'A6-FinPos'!E24</f>
        <v>911142024</v>
      </c>
      <c r="E36" s="89">
        <f>'A6-FinPos'!F24</f>
        <v>78213000</v>
      </c>
      <c r="F36" s="85">
        <f>'A6-FinPos'!G24</f>
        <v>78213000</v>
      </c>
      <c r="G36" s="436">
        <f>'A6-FinPos'!H24</f>
        <v>78213000</v>
      </c>
      <c r="H36" s="88">
        <f>'A6-FinPos'!I24</f>
        <v>78213000</v>
      </c>
      <c r="I36" s="89">
        <f>'A6-FinPos'!J24</f>
        <v>114185587.9973</v>
      </c>
      <c r="J36" s="85">
        <f>'A6-FinPos'!K24</f>
        <v>119159934.7973</v>
      </c>
      <c r="K36" s="436">
        <f>'A6-FinPos'!L24</f>
        <v>124432742.40530001</v>
      </c>
      <c r="O36" s="124"/>
    </row>
    <row r="37" spans="1:15" ht="11.25" customHeight="1" x14ac:dyDescent="0.25">
      <c r="A37" s="773" t="str">
        <f>'A6-FinPos'!A34</f>
        <v>Total current liabilities</v>
      </c>
      <c r="B37" s="990">
        <f>'A6-FinPos'!C34</f>
        <v>16882323</v>
      </c>
      <c r="C37" s="85">
        <f>'A6-FinPos'!D34</f>
        <v>49902232</v>
      </c>
      <c r="D37" s="435">
        <f>'A6-FinPos'!E34</f>
        <v>49088361</v>
      </c>
      <c r="E37" s="89">
        <f>'A6-FinPos'!F34</f>
        <v>4000000</v>
      </c>
      <c r="F37" s="85">
        <f>'A6-FinPos'!G34</f>
        <v>4000000</v>
      </c>
      <c r="G37" s="436">
        <f>'A6-FinPos'!H34</f>
        <v>4000000</v>
      </c>
      <c r="H37" s="88">
        <f>'A6-FinPos'!I34</f>
        <v>4000000</v>
      </c>
      <c r="I37" s="89">
        <f>'A6-FinPos'!J34</f>
        <v>4240000</v>
      </c>
      <c r="J37" s="85">
        <f>'A6-FinPos'!K34</f>
        <v>4494400</v>
      </c>
      <c r="K37" s="436">
        <f>'A6-FinPos'!L34</f>
        <v>4764064</v>
      </c>
      <c r="O37" s="124"/>
    </row>
    <row r="38" spans="1:15" ht="11.25" customHeight="1" x14ac:dyDescent="0.25">
      <c r="A38" s="773" t="str">
        <f>'A6-FinPos'!A39</f>
        <v>Total non current liabilities</v>
      </c>
      <c r="B38" s="990">
        <f>'A6-FinPos'!C39</f>
        <v>0</v>
      </c>
      <c r="C38" s="85">
        <f>'A6-FinPos'!D39</f>
        <v>31683707</v>
      </c>
      <c r="D38" s="435">
        <f>'A6-FinPos'!E39</f>
        <v>30208317</v>
      </c>
      <c r="E38" s="89">
        <f>'A6-FinPos'!F39</f>
        <v>0</v>
      </c>
      <c r="F38" s="85">
        <f>'A6-FinPos'!G39</f>
        <v>0</v>
      </c>
      <c r="G38" s="436">
        <f>'A6-FinPos'!H39</f>
        <v>0</v>
      </c>
      <c r="H38" s="88">
        <f>'A6-FinPos'!I39</f>
        <v>0</v>
      </c>
      <c r="I38" s="89">
        <f>'A6-FinPos'!J39</f>
        <v>0</v>
      </c>
      <c r="J38" s="85">
        <f>'A6-FinPos'!K39</f>
        <v>0</v>
      </c>
      <c r="K38" s="436">
        <f>'A6-FinPos'!L39</f>
        <v>0</v>
      </c>
      <c r="O38" s="124"/>
    </row>
    <row r="39" spans="1:15" ht="11.25" customHeight="1" x14ac:dyDescent="0.25">
      <c r="A39" s="773" t="s">
        <v>37</v>
      </c>
      <c r="B39" s="990">
        <f>'A6-FinPos'!C48</f>
        <v>126599577</v>
      </c>
      <c r="C39" s="85">
        <f>'A6-FinPos'!D48</f>
        <v>891134634</v>
      </c>
      <c r="D39" s="435">
        <f>'A6-FinPos'!E48</f>
        <v>938280958</v>
      </c>
      <c r="E39" s="89">
        <f>'A6-FinPos'!F48</f>
        <v>108213000</v>
      </c>
      <c r="F39" s="85">
        <f>'A6-FinPos'!G48</f>
        <v>108213000</v>
      </c>
      <c r="G39" s="436">
        <f>'A6-FinPos'!H48</f>
        <v>108213000</v>
      </c>
      <c r="H39" s="88">
        <f>'A6-FinPos'!I48</f>
        <v>108213000</v>
      </c>
      <c r="I39" s="89">
        <f>'A6-FinPos'!J48</f>
        <v>145985587.9973</v>
      </c>
      <c r="J39" s="85">
        <f>'A6-FinPos'!K48</f>
        <v>152867934.79729998</v>
      </c>
      <c r="K39" s="436">
        <f>'A6-FinPos'!L48</f>
        <v>160163222.40530002</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938</v>
      </c>
      <c r="B42" s="990">
        <f>'A7-CFlow'!C17</f>
        <v>56968300</v>
      </c>
      <c r="C42" s="85">
        <f>'A7-CFlow'!D17</f>
        <v>56308027</v>
      </c>
      <c r="D42" s="435">
        <f>'A7-CFlow'!E17</f>
        <v>78898022</v>
      </c>
      <c r="E42" s="89">
        <f>'A7-CFlow'!F17</f>
        <v>67781571.210000008</v>
      </c>
      <c r="F42" s="85">
        <f>'A7-CFlow'!G17</f>
        <v>73170452.560000002</v>
      </c>
      <c r="G42" s="436">
        <f>'A7-CFlow'!H17</f>
        <v>73170452.560000032</v>
      </c>
      <c r="H42" s="88">
        <f>'A7-CFlow'!I17</f>
        <v>73170452.560000032</v>
      </c>
      <c r="I42" s="89">
        <f>'A7-CFlow'!J17</f>
        <v>67373144.612959981</v>
      </c>
      <c r="J42" s="85">
        <f>'A7-CFlow'!K17</f>
        <v>74156153.370437562</v>
      </c>
      <c r="K42" s="436">
        <f>'A7-CFlow'!L17</f>
        <v>78114333.020587862</v>
      </c>
    </row>
    <row r="43" spans="1:15" ht="11.25" customHeight="1" x14ac:dyDescent="0.25">
      <c r="A43" s="773" t="s">
        <v>939</v>
      </c>
      <c r="B43" s="990">
        <f>'A7-CFlow'!C27</f>
        <v>-35052196</v>
      </c>
      <c r="C43" s="85">
        <f>'A7-CFlow'!D27</f>
        <v>1400564</v>
      </c>
      <c r="D43" s="435">
        <f>'A7-CFlow'!E27</f>
        <v>47813867</v>
      </c>
      <c r="E43" s="89">
        <f>'A7-CFlow'!F27</f>
        <v>-70815213.200000003</v>
      </c>
      <c r="F43" s="85">
        <f>'A7-CFlow'!G27</f>
        <v>-68454956.049999997</v>
      </c>
      <c r="G43" s="436">
        <f>'A7-CFlow'!H27</f>
        <v>-68454956.049999997</v>
      </c>
      <c r="H43" s="88">
        <f>'A7-CFlow'!I27</f>
        <v>-68454956.049999997</v>
      </c>
      <c r="I43" s="89">
        <f>'A7-CFlow'!J27</f>
        <v>-65507957.5</v>
      </c>
      <c r="J43" s="85">
        <f>'A7-CFlow'!K27</f>
        <v>-68590434.950000003</v>
      </c>
      <c r="K43" s="436">
        <f>'A7-CFlow'!L27</f>
        <v>-72705861.049999997</v>
      </c>
    </row>
    <row r="44" spans="1:15" ht="11.25" customHeight="1" x14ac:dyDescent="0.25">
      <c r="A44" s="773" t="s">
        <v>937</v>
      </c>
      <c r="B44" s="990">
        <f>'A7-CFlow'!C36</f>
        <v>-2716000</v>
      </c>
      <c r="C44" s="85">
        <f>'A7-CFlow'!D36</f>
        <v>998145</v>
      </c>
      <c r="D44" s="435">
        <f>'A7-CFlow'!E36</f>
        <v>1573670</v>
      </c>
      <c r="E44" s="89">
        <f>'A7-CFlow'!F36</f>
        <v>-2809000</v>
      </c>
      <c r="F44" s="85">
        <f>'A7-CFlow'!G36</f>
        <v>-2009000</v>
      </c>
      <c r="G44" s="436">
        <f>'A7-CFlow'!H36</f>
        <v>-2009000</v>
      </c>
      <c r="H44" s="88">
        <f>'A7-CFlow'!I36</f>
        <v>-2009000</v>
      </c>
      <c r="I44" s="89">
        <f>'A7-CFlow'!J36</f>
        <v>-1865187.16</v>
      </c>
      <c r="J44" s="85">
        <f>'A7-CFlow'!K36</f>
        <v>-1977098.3895999999</v>
      </c>
      <c r="K44" s="436">
        <f>'A7-CFlow'!L36</f>
        <v>-2095724.2929759999</v>
      </c>
    </row>
    <row r="45" spans="1:15" ht="11.25" customHeight="1" x14ac:dyDescent="0.25">
      <c r="A45" s="774" t="str">
        <f>LEFT('A7-CFlow'!A40,37)</f>
        <v>Cash/cash equivalents at the year end</v>
      </c>
      <c r="B45" s="990">
        <f>'A7-CFlow'!C40</f>
        <v>32429818</v>
      </c>
      <c r="C45" s="85">
        <f>'A7-CFlow'!D40</f>
        <v>91136553</v>
      </c>
      <c r="D45" s="435">
        <f>'A7-CFlow'!E40</f>
        <v>178030570</v>
      </c>
      <c r="E45" s="89">
        <f>'A7-CFlow'!F40</f>
        <v>76024182.010000005</v>
      </c>
      <c r="F45" s="85">
        <f>'A7-CFlow'!G40</f>
        <v>84573320.510000005</v>
      </c>
      <c r="G45" s="436">
        <f>'A7-CFlow'!H40</f>
        <v>84573320.510000035</v>
      </c>
      <c r="H45" s="88">
        <f>'A7-CFlow'!I40</f>
        <v>84573320.510000035</v>
      </c>
      <c r="I45" s="89">
        <f>'A7-CFlow'!J40</f>
        <v>-4.7040018951520324E-2</v>
      </c>
      <c r="J45" s="85">
        <f>'A7-CFlow'!K40</f>
        <v>3588619.9837975409</v>
      </c>
      <c r="K45" s="436">
        <f>'A7-CFlow'!L40</f>
        <v>6901367.661409406</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32429817</v>
      </c>
      <c r="C48" s="85">
        <f>'A8-ResRecon'!D8</f>
        <v>49745011</v>
      </c>
      <c r="D48" s="435">
        <f>'A8-ResRecon'!E8</f>
        <v>81866825</v>
      </c>
      <c r="E48" s="89">
        <f>'A8-ResRecon'!F8</f>
        <v>31000000</v>
      </c>
      <c r="F48" s="85">
        <f>'A8-ResRecon'!G8</f>
        <v>31000000</v>
      </c>
      <c r="G48" s="436">
        <f>'A8-ResRecon'!H8</f>
        <v>31000000</v>
      </c>
      <c r="H48" s="88">
        <f>'A8-ResRecon'!I8</f>
        <v>31000000</v>
      </c>
      <c r="I48" s="89">
        <f>'A8-ResRecon'!J8</f>
        <v>64139807.997299999</v>
      </c>
      <c r="J48" s="85">
        <f>'A8-ResRecon'!K8</f>
        <v>66111407.997299999</v>
      </c>
      <c r="K48" s="436">
        <f>'A8-ResRecon'!L8</f>
        <v>68201303.997299999</v>
      </c>
    </row>
    <row r="49" spans="1:12" ht="11.25" customHeight="1" x14ac:dyDescent="0.25">
      <c r="A49" s="773" t="str">
        <f>'A8-ResRecon'!A10</f>
        <v>Application of cash and investments</v>
      </c>
      <c r="B49" s="990">
        <f>'A8-ResRecon'!C18</f>
        <v>-2136000</v>
      </c>
      <c r="C49" s="85">
        <f>'A8-ResRecon'!D18</f>
        <v>32169739</v>
      </c>
      <c r="D49" s="435">
        <f>'A8-ResRecon'!E18</f>
        <v>25242126</v>
      </c>
      <c r="E49" s="89">
        <f>'A8-ResRecon'!F18</f>
        <v>1104000</v>
      </c>
      <c r="F49" s="85">
        <f>'A8-ResRecon'!G18</f>
        <v>1039000</v>
      </c>
      <c r="G49" s="436">
        <f>'A8-ResRecon'!H18</f>
        <v>1129000</v>
      </c>
      <c r="H49" s="88">
        <f>'A8-ResRecon'!I18</f>
        <v>1129000</v>
      </c>
      <c r="I49" s="89">
        <f>'A8-ResRecon'!J18</f>
        <v>1130000</v>
      </c>
      <c r="J49" s="85">
        <f>'A8-ResRecon'!K18</f>
        <v>1198400</v>
      </c>
      <c r="K49" s="436">
        <f>'A8-ResRecon'!L18</f>
        <v>1270064</v>
      </c>
    </row>
    <row r="50" spans="1:12" ht="11.25" customHeight="1" x14ac:dyDescent="0.25">
      <c r="A50" s="774" t="s">
        <v>1036</v>
      </c>
      <c r="B50" s="990">
        <f>B48-B49</f>
        <v>34565817</v>
      </c>
      <c r="C50" s="85">
        <f t="shared" ref="C50:K50" si="6">C48-C49</f>
        <v>17575272</v>
      </c>
      <c r="D50" s="435">
        <f t="shared" si="6"/>
        <v>56624699</v>
      </c>
      <c r="E50" s="89">
        <f t="shared" si="6"/>
        <v>29896000</v>
      </c>
      <c r="F50" s="85">
        <f t="shared" si="6"/>
        <v>29961000</v>
      </c>
      <c r="G50" s="436">
        <f t="shared" si="6"/>
        <v>29871000</v>
      </c>
      <c r="H50" s="88">
        <f t="shared" si="6"/>
        <v>29871000</v>
      </c>
      <c r="I50" s="89">
        <f t="shared" si="6"/>
        <v>63009807.997299999</v>
      </c>
      <c r="J50" s="85">
        <f t="shared" si="6"/>
        <v>64913007.997299999</v>
      </c>
      <c r="K50" s="436">
        <f t="shared" si="6"/>
        <v>66931239.997299999</v>
      </c>
    </row>
    <row r="51" spans="1:12" ht="5.0999999999999996" customHeight="1" x14ac:dyDescent="0.25">
      <c r="A51" s="799"/>
      <c r="B51" s="52"/>
      <c r="C51" s="53"/>
      <c r="D51" s="54"/>
      <c r="E51" s="52"/>
      <c r="F51" s="53"/>
      <c r="G51" s="54"/>
      <c r="H51" s="55"/>
      <c r="I51" s="52"/>
      <c r="J51" s="53"/>
      <c r="K51" s="54"/>
    </row>
    <row r="52" spans="1:12" ht="11.25" customHeight="1" x14ac:dyDescent="0.25">
      <c r="A52" s="1023" t="s">
        <v>1192</v>
      </c>
      <c r="B52" s="36"/>
      <c r="C52" s="37"/>
      <c r="D52" s="38"/>
      <c r="E52" s="36"/>
      <c r="F52" s="37"/>
      <c r="G52" s="38"/>
      <c r="H52" s="39"/>
      <c r="I52" s="36"/>
      <c r="J52" s="37"/>
      <c r="K52" s="38"/>
      <c r="L52" s="247"/>
    </row>
    <row r="53" spans="1:12" ht="11.25" customHeight="1" x14ac:dyDescent="0.25">
      <c r="A53" s="1024" t="s">
        <v>913</v>
      </c>
      <c r="B53" s="990">
        <f>'A9-Asset'!C65</f>
        <v>107700171</v>
      </c>
      <c r="C53" s="85">
        <f>'A9-Asset'!D65</f>
        <v>114048000</v>
      </c>
      <c r="D53" s="435">
        <f>'A9-Asset'!E65</f>
        <v>118087200</v>
      </c>
      <c r="E53" s="89">
        <f>'A9-Asset'!F65</f>
        <v>0</v>
      </c>
      <c r="F53" s="85">
        <f>'A9-Asset'!G65</f>
        <v>0</v>
      </c>
      <c r="G53" s="436">
        <f>'A9-Asset'!H65</f>
        <v>0</v>
      </c>
      <c r="H53" s="88">
        <f>'A9-Asset'!I65</f>
        <v>0</v>
      </c>
      <c r="I53" s="89">
        <f>'A9-Asset'!I65</f>
        <v>0</v>
      </c>
      <c r="J53" s="85">
        <f>'A9-Asset'!J65</f>
        <v>0</v>
      </c>
      <c r="K53" s="436">
        <f>'A9-Asset'!K65</f>
        <v>0</v>
      </c>
      <c r="L53" s="247"/>
    </row>
    <row r="54" spans="1:12" ht="11.25" customHeight="1" x14ac:dyDescent="0.25">
      <c r="A54" s="1024" t="str">
        <f>'A9-Asset'!A68</f>
        <v>Depreciation &amp; asset impairment</v>
      </c>
      <c r="B54" s="990">
        <f>'A9-Asset'!C68</f>
        <v>37802336</v>
      </c>
      <c r="C54" s="85">
        <f>'A9-Asset'!D68</f>
        <v>37960565</v>
      </c>
      <c r="D54" s="435">
        <f>'A9-Asset'!E68</f>
        <v>40721576</v>
      </c>
      <c r="E54" s="89">
        <f>'A9-Asset'!F68</f>
        <v>42400000</v>
      </c>
      <c r="F54" s="85">
        <f>'A9-Asset'!G68</f>
        <v>42400000</v>
      </c>
      <c r="G54" s="436">
        <f>'A9-Asset'!H68</f>
        <v>42400000</v>
      </c>
      <c r="H54" s="88">
        <f>'A9-Asset'!I68</f>
        <v>44944000</v>
      </c>
      <c r="I54" s="89">
        <f>'A9-Asset'!I68</f>
        <v>44944000</v>
      </c>
      <c r="J54" s="85">
        <f>'A9-Asset'!J68</f>
        <v>47640640</v>
      </c>
      <c r="K54" s="436">
        <f>'A9-Asset'!K68</f>
        <v>50499078.399999999</v>
      </c>
      <c r="L54" s="247"/>
    </row>
    <row r="55" spans="1:12" ht="11.25" customHeight="1" x14ac:dyDescent="0.25">
      <c r="A55" s="1024" t="s">
        <v>420</v>
      </c>
      <c r="B55" s="990">
        <f>'A9-Asset'!C20</f>
        <v>29593000</v>
      </c>
      <c r="C55" s="85">
        <f>'A9-Asset'!D20</f>
        <v>3194043.63</v>
      </c>
      <c r="D55" s="435">
        <f>'A9-Asset'!E20</f>
        <v>0</v>
      </c>
      <c r="E55" s="89">
        <f>'A9-Asset'!F20</f>
        <v>11942501</v>
      </c>
      <c r="F55" s="85">
        <f>'A9-Asset'!G20</f>
        <v>6626001</v>
      </c>
      <c r="G55" s="436">
        <f>'A9-Asset'!H20</f>
        <v>6626001</v>
      </c>
      <c r="H55" s="88">
        <f>'A9-Asset'!H20</f>
        <v>6626001</v>
      </c>
      <c r="I55" s="89">
        <f>'A9-Asset'!I20</f>
        <v>22091600</v>
      </c>
      <c r="J55" s="85">
        <f>'A9-Asset'!J20</f>
        <v>23417096</v>
      </c>
      <c r="K55" s="436">
        <f>'A9-Asset'!K20</f>
        <v>24822121.760000002</v>
      </c>
      <c r="L55" s="247"/>
    </row>
    <row r="56" spans="1:12" ht="11.25" customHeight="1" x14ac:dyDescent="0.25">
      <c r="A56" s="1024" t="s">
        <v>421</v>
      </c>
      <c r="B56" s="990">
        <f>'A9-Asset'!C69</f>
        <v>9743412</v>
      </c>
      <c r="C56" s="85">
        <f>'A9-Asset'!D69</f>
        <v>9180043</v>
      </c>
      <c r="D56" s="435">
        <f>'A9-Asset'!E69</f>
        <v>7874188</v>
      </c>
      <c r="E56" s="89">
        <f>'A9-Asset'!F69</f>
        <v>13545812.27</v>
      </c>
      <c r="F56" s="85">
        <f>'A9-Asset'!G69</f>
        <v>12729542.210000001</v>
      </c>
      <c r="G56" s="436">
        <f>'A9-Asset'!H69</f>
        <v>12729542.210000001</v>
      </c>
      <c r="H56" s="88">
        <f>'A9-Asset'!I69</f>
        <v>13093442.809999999</v>
      </c>
      <c r="I56" s="89">
        <f>'A9-Asset'!I69</f>
        <v>13093442.809999999</v>
      </c>
      <c r="J56" s="85">
        <f>'A9-Asset'!J69</f>
        <v>13879049.390000001</v>
      </c>
      <c r="K56" s="436">
        <f>'A9-Asset'!K69</f>
        <v>14711792.34</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764</v>
      </c>
      <c r="B58" s="36"/>
      <c r="C58" s="37"/>
      <c r="D58" s="38"/>
      <c r="E58" s="36"/>
      <c r="F58" s="37"/>
      <c r="G58" s="38"/>
      <c r="H58" s="39"/>
      <c r="I58" s="40"/>
      <c r="J58" s="41"/>
      <c r="K58" s="42"/>
      <c r="L58" s="247"/>
    </row>
    <row r="59" spans="1:12" ht="11.25" customHeight="1" x14ac:dyDescent="0.25">
      <c r="A59" s="1382" t="s">
        <v>766</v>
      </c>
      <c r="B59" s="990">
        <f>'A10-SerDel'!C60</f>
        <v>0</v>
      </c>
      <c r="C59" s="85">
        <f>'A10-SerDel'!D60</f>
        <v>0</v>
      </c>
      <c r="D59" s="435">
        <f>'A10-SerDel'!E60</f>
        <v>0</v>
      </c>
      <c r="E59" s="89">
        <f>'A10-SerDel'!F60</f>
        <v>0</v>
      </c>
      <c r="F59" s="85">
        <f>'A10-SerDel'!G60</f>
        <v>0</v>
      </c>
      <c r="G59" s="436">
        <f>'A10-SerDel'!H60</f>
        <v>0</v>
      </c>
      <c r="H59" s="88">
        <f>'A10-SerDel'!I60</f>
        <v>0</v>
      </c>
      <c r="I59" s="89">
        <f>'A10-SerDel'!I60</f>
        <v>0</v>
      </c>
      <c r="J59" s="85">
        <f>'A10-SerDel'!J60</f>
        <v>0</v>
      </c>
      <c r="K59" s="436">
        <f>'A10-SerDel'!K60</f>
        <v>0</v>
      </c>
      <c r="L59" s="247"/>
    </row>
    <row r="60" spans="1:12" ht="11.25" customHeight="1" x14ac:dyDescent="0.25">
      <c r="A60" s="1382" t="s">
        <v>473</v>
      </c>
      <c r="B60" s="990">
        <f>'A10-SerDel'!C79</f>
        <v>0</v>
      </c>
      <c r="C60" s="85">
        <f>'A10-SerDel'!D79</f>
        <v>0</v>
      </c>
      <c r="D60" s="435">
        <f>'A10-SerDel'!E79</f>
        <v>0</v>
      </c>
      <c r="E60" s="89">
        <f>'A10-SerDel'!F79</f>
        <v>0</v>
      </c>
      <c r="F60" s="85">
        <f>'A10-SerDel'!G79</f>
        <v>0</v>
      </c>
      <c r="G60" s="436">
        <f>'A10-SerDel'!H79</f>
        <v>0</v>
      </c>
      <c r="H60" s="88">
        <f>'A10-SerDel'!I79</f>
        <v>0</v>
      </c>
      <c r="I60" s="89">
        <f>'A10-SerDel'!I79</f>
        <v>0</v>
      </c>
      <c r="J60" s="85">
        <f>'A10-SerDel'!J79</f>
        <v>0</v>
      </c>
      <c r="K60" s="436">
        <f>'A10-SerDel'!K79</f>
        <v>0</v>
      </c>
      <c r="L60" s="247"/>
    </row>
    <row r="61" spans="1:12" ht="11.25" customHeight="1" x14ac:dyDescent="0.25">
      <c r="A61" s="1384" t="s">
        <v>765</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0</v>
      </c>
      <c r="C63" s="134">
        <f>'A10-SerDel'!D26</f>
        <v>0</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0</v>
      </c>
      <c r="C65" s="134">
        <f>'A10-SerDel'!D45</f>
        <v>0</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37" activePane="bottomRight" state="frozen"/>
      <selection pane="topRight"/>
      <selection pane="bottomLeft"/>
      <selection pane="bottomRight" activeCell="C58" sqref="C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LIM471 Ephraim Mogale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53" t="str">
        <f>Head2</f>
        <v>Current Year 2015/16</v>
      </c>
      <c r="G2" s="2654"/>
      <c r="H2" s="2658"/>
      <c r="I2" s="2650" t="str">
        <f>Head3</f>
        <v>2016/17 Medium Term Revenue &amp; Expenditure Framework</v>
      </c>
      <c r="J2" s="2651"/>
      <c r="K2" s="2652"/>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3"/>
      <c r="F4" s="64"/>
      <c r="G4" s="62"/>
      <c r="H4" s="61"/>
      <c r="I4" s="65"/>
      <c r="J4" s="62"/>
      <c r="K4" s="63"/>
      <c r="L4" s="247"/>
    </row>
    <row r="5" spans="1:18" ht="11.25" customHeight="1" x14ac:dyDescent="0.25">
      <c r="A5" s="1128" t="s">
        <v>1081</v>
      </c>
      <c r="B5" s="1045"/>
      <c r="C5" s="990">
        <f>SUM(C6:C8)</f>
        <v>105938685.38120002</v>
      </c>
      <c r="D5" s="990">
        <f t="shared" ref="D5:K5" si="0">SUM(D6:D8)</f>
        <v>110878230.79999998</v>
      </c>
      <c r="E5" s="1263">
        <f t="shared" si="0"/>
        <v>137425907</v>
      </c>
      <c r="F5" s="994">
        <f t="shared" si="0"/>
        <v>154115213.64000002</v>
      </c>
      <c r="G5" s="990">
        <f t="shared" si="0"/>
        <v>154637193.64000002</v>
      </c>
      <c r="H5" s="1264">
        <f t="shared" si="0"/>
        <v>154637193.64000002</v>
      </c>
      <c r="I5" s="1265">
        <f t="shared" si="0"/>
        <v>155878745.25999999</v>
      </c>
      <c r="J5" s="990">
        <f t="shared" si="0"/>
        <v>166518029.97</v>
      </c>
      <c r="K5" s="1264">
        <f t="shared" si="0"/>
        <v>177222231.77000001</v>
      </c>
      <c r="L5" s="247"/>
      <c r="Q5" s="130"/>
      <c r="R5" s="131"/>
    </row>
    <row r="6" spans="1:18" ht="11.25" customHeight="1" x14ac:dyDescent="0.25">
      <c r="A6" s="1129" t="s">
        <v>142</v>
      </c>
      <c r="B6" s="1045"/>
      <c r="C6" s="923">
        <f>A2A!C6</f>
        <v>6803812.2999999998</v>
      </c>
      <c r="D6" s="923">
        <f>A2A!D6</f>
        <v>1760665.95</v>
      </c>
      <c r="E6" s="924">
        <f>A2A!E6</f>
        <v>7384202</v>
      </c>
      <c r="F6" s="925">
        <f>A2A!F6</f>
        <v>8168134.71</v>
      </c>
      <c r="G6" s="923">
        <f>A2A!G6</f>
        <v>7832325.3600000003</v>
      </c>
      <c r="H6" s="926">
        <f>A2A!H6</f>
        <v>7832325.3600000003</v>
      </c>
      <c r="I6" s="927">
        <f>A2A!I6</f>
        <v>8286104.8799999999</v>
      </c>
      <c r="J6" s="923">
        <f>A2A!J6</f>
        <v>7382111.1699999999</v>
      </c>
      <c r="K6" s="924">
        <f>A2A!K6</f>
        <v>7756537.8399999999</v>
      </c>
      <c r="L6" s="247"/>
      <c r="Q6" s="130"/>
      <c r="R6" s="131"/>
    </row>
    <row r="7" spans="1:18" ht="11.25" customHeight="1" x14ac:dyDescent="0.25">
      <c r="A7" s="1129" t="s">
        <v>143</v>
      </c>
      <c r="B7" s="1045"/>
      <c r="C7" s="1318">
        <f>A2A!C9</f>
        <v>65389075.902000003</v>
      </c>
      <c r="D7" s="1318">
        <f>A2A!D9</f>
        <v>35770545.009999998</v>
      </c>
      <c r="E7" s="1319">
        <f>A2A!E9</f>
        <v>130039734</v>
      </c>
      <c r="F7" s="1320">
        <f>A2A!F9</f>
        <v>145947078.93000001</v>
      </c>
      <c r="G7" s="1318">
        <f>A2A!G9</f>
        <v>146804868.28</v>
      </c>
      <c r="H7" s="1321">
        <f>A2A!H9</f>
        <v>146804868.28</v>
      </c>
      <c r="I7" s="1322">
        <f>A2A!I9</f>
        <v>147592640.38</v>
      </c>
      <c r="J7" s="1318">
        <f>A2A!J9</f>
        <v>159135918.80000001</v>
      </c>
      <c r="K7" s="1319">
        <f>A2A!K9</f>
        <v>169465693.93000001</v>
      </c>
      <c r="L7" s="247"/>
      <c r="Q7" s="130"/>
      <c r="R7" s="131"/>
    </row>
    <row r="8" spans="1:18" ht="11.25" customHeight="1" x14ac:dyDescent="0.25">
      <c r="A8" s="1129" t="s">
        <v>144</v>
      </c>
      <c r="B8" s="1045"/>
      <c r="C8" s="923">
        <f>A2A!C10</f>
        <v>33745797.179200001</v>
      </c>
      <c r="D8" s="923">
        <f>A2A!D10</f>
        <v>73347019.839999989</v>
      </c>
      <c r="E8" s="924">
        <f>A2A!E10</f>
        <v>1971</v>
      </c>
      <c r="F8" s="925">
        <f>A2A!F10</f>
        <v>0</v>
      </c>
      <c r="G8" s="923">
        <f>A2A!G10</f>
        <v>0</v>
      </c>
      <c r="H8" s="926">
        <f>A2A!H10</f>
        <v>0</v>
      </c>
      <c r="I8" s="927">
        <f>A2A!I10</f>
        <v>0</v>
      </c>
      <c r="J8" s="923">
        <f>A2A!J10</f>
        <v>0</v>
      </c>
      <c r="K8" s="924">
        <f>A2A!K10</f>
        <v>0</v>
      </c>
      <c r="L8" s="247"/>
      <c r="Q8" s="130"/>
      <c r="R8" s="131"/>
    </row>
    <row r="9" spans="1:18" ht="11.25" customHeight="1" x14ac:dyDescent="0.25">
      <c r="A9" s="1128" t="s">
        <v>145</v>
      </c>
      <c r="B9" s="1045"/>
      <c r="C9" s="990">
        <f>SUM(C10:C14)</f>
        <v>28752474.668999996</v>
      </c>
      <c r="D9" s="990">
        <f t="shared" ref="D9:K9" si="1">SUM(D10:D14)</f>
        <v>20724158.07</v>
      </c>
      <c r="E9" s="991">
        <f t="shared" si="1"/>
        <v>32502</v>
      </c>
      <c r="F9" s="992">
        <f t="shared" si="1"/>
        <v>35367738.07</v>
      </c>
      <c r="G9" s="990">
        <f t="shared" si="1"/>
        <v>38404620.07</v>
      </c>
      <c r="H9" s="993">
        <f t="shared" si="1"/>
        <v>38404620.07</v>
      </c>
      <c r="I9" s="994">
        <f t="shared" si="1"/>
        <v>2569721.41</v>
      </c>
      <c r="J9" s="990">
        <f t="shared" si="1"/>
        <v>2723904.6799999997</v>
      </c>
      <c r="K9" s="991">
        <f t="shared" si="1"/>
        <v>2887338.97</v>
      </c>
      <c r="L9" s="247"/>
      <c r="Q9" s="130"/>
      <c r="R9" s="131"/>
    </row>
    <row r="10" spans="1:18" ht="11.25" customHeight="1" x14ac:dyDescent="0.25">
      <c r="A10" s="1129" t="s">
        <v>146</v>
      </c>
      <c r="B10" s="1045"/>
      <c r="C10" s="923">
        <f>A2A!C16</f>
        <v>9115.4</v>
      </c>
      <c r="D10" s="923">
        <f>A2A!D16</f>
        <v>4732189.8399999989</v>
      </c>
      <c r="E10" s="924">
        <f>A2A!E16</f>
        <v>32502</v>
      </c>
      <c r="F10" s="925">
        <f>A2A!F16</f>
        <v>628487.1</v>
      </c>
      <c r="G10" s="923">
        <f>A2A!G16</f>
        <v>628487.1</v>
      </c>
      <c r="H10" s="926">
        <f>A2A!H16</f>
        <v>628487.1</v>
      </c>
      <c r="I10" s="927">
        <f>A2A!I16</f>
        <v>29681.62</v>
      </c>
      <c r="J10" s="923">
        <f>A2A!J16</f>
        <v>31462.52</v>
      </c>
      <c r="K10" s="924">
        <f>A2A!K16</f>
        <v>33350.269999999997</v>
      </c>
      <c r="L10" s="247"/>
      <c r="N10" s="247"/>
      <c r="Q10" s="130"/>
      <c r="R10" s="131"/>
    </row>
    <row r="11" spans="1:18" ht="11.25" customHeight="1" x14ac:dyDescent="0.25">
      <c r="A11" s="1129" t="s">
        <v>147</v>
      </c>
      <c r="B11" s="1045"/>
      <c r="C11" s="923">
        <f>A2A!C25</f>
        <v>0</v>
      </c>
      <c r="D11" s="923">
        <f>A2A!D25</f>
        <v>0</v>
      </c>
      <c r="E11" s="924">
        <f>A2A!E25</f>
        <v>0</v>
      </c>
      <c r="F11" s="925">
        <f>A2A!F25</f>
        <v>0</v>
      </c>
      <c r="G11" s="923">
        <f>A2A!G25</f>
        <v>0</v>
      </c>
      <c r="H11" s="926">
        <f>A2A!H25</f>
        <v>0</v>
      </c>
      <c r="I11" s="927">
        <f>A2A!I25</f>
        <v>0</v>
      </c>
      <c r="J11" s="923">
        <f>A2A!J25</f>
        <v>0</v>
      </c>
      <c r="K11" s="924">
        <f>A2A!K25</f>
        <v>0</v>
      </c>
      <c r="L11" s="247"/>
      <c r="Q11" s="130"/>
      <c r="R11" s="131"/>
    </row>
    <row r="12" spans="1:18" ht="11.25" customHeight="1" x14ac:dyDescent="0.25">
      <c r="A12" s="1129" t="s">
        <v>148</v>
      </c>
      <c r="B12" s="1045"/>
      <c r="C12" s="923">
        <f>A2A!C26</f>
        <v>28263801.949999999</v>
      </c>
      <c r="D12" s="923">
        <f>A2A!D26</f>
        <v>15991968.23</v>
      </c>
      <c r="E12" s="924">
        <f>A2A!E26</f>
        <v>0</v>
      </c>
      <c r="F12" s="925">
        <f>A2A!F26</f>
        <v>34489341.549999997</v>
      </c>
      <c r="G12" s="923">
        <f>A2A!G26</f>
        <v>37526223.549999997</v>
      </c>
      <c r="H12" s="926">
        <f>A2A!H26</f>
        <v>37526223.549999997</v>
      </c>
      <c r="I12" s="927">
        <f>A2A!I26</f>
        <v>2275135.7999999998</v>
      </c>
      <c r="J12" s="923">
        <f>A2A!J26</f>
        <v>2411643.94</v>
      </c>
      <c r="K12" s="924">
        <f>A2A!K26</f>
        <v>2556342.58</v>
      </c>
      <c r="L12" s="247"/>
      <c r="Q12" s="130"/>
      <c r="R12" s="131"/>
    </row>
    <row r="13" spans="1:18" ht="11.25" customHeight="1" x14ac:dyDescent="0.25">
      <c r="A13" s="1129" t="s">
        <v>1626</v>
      </c>
      <c r="B13" s="1045"/>
      <c r="C13" s="923">
        <f>A2A!C32</f>
        <v>479557.31900000002</v>
      </c>
      <c r="D13" s="923">
        <f>A2A!D32</f>
        <v>0</v>
      </c>
      <c r="E13" s="924">
        <f>A2A!E32</f>
        <v>0</v>
      </c>
      <c r="F13" s="925">
        <f>A2A!F32</f>
        <v>249909.42</v>
      </c>
      <c r="G13" s="923">
        <f>A2A!G32</f>
        <v>249909.42</v>
      </c>
      <c r="H13" s="926">
        <f>A2A!H32</f>
        <v>249909.42</v>
      </c>
      <c r="I13" s="927">
        <f>A2A!I32</f>
        <v>264903.99</v>
      </c>
      <c r="J13" s="923">
        <f>A2A!J32</f>
        <v>280798.21999999997</v>
      </c>
      <c r="K13" s="924">
        <f>A2A!K32</f>
        <v>297646.12</v>
      </c>
      <c r="L13" s="247"/>
      <c r="Q13" s="130"/>
      <c r="R13" s="131"/>
    </row>
    <row r="14" spans="1:18" ht="11.25" customHeight="1" x14ac:dyDescent="0.25">
      <c r="A14" s="1129" t="s">
        <v>1699</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6966560.0899999999</v>
      </c>
      <c r="D15" s="990">
        <f t="shared" ref="D15:K15" si="2">SUM(D16:D18)</f>
        <v>4847744.2</v>
      </c>
      <c r="E15" s="991">
        <f t="shared" si="2"/>
        <v>37594612</v>
      </c>
      <c r="F15" s="992">
        <f t="shared" si="2"/>
        <v>13467441.859999999</v>
      </c>
      <c r="G15" s="990">
        <f t="shared" si="2"/>
        <v>11876090.77</v>
      </c>
      <c r="H15" s="993">
        <f t="shared" si="2"/>
        <v>11876090.77</v>
      </c>
      <c r="I15" s="994">
        <f t="shared" si="2"/>
        <v>44598217.079999998</v>
      </c>
      <c r="J15" s="990">
        <f t="shared" si="2"/>
        <v>47614090.109999999</v>
      </c>
      <c r="K15" s="991">
        <f t="shared" si="2"/>
        <v>50392915.509999998</v>
      </c>
      <c r="L15" s="247"/>
      <c r="Q15" s="130"/>
      <c r="R15" s="131"/>
    </row>
    <row r="16" spans="1:18" ht="11.25" customHeight="1" x14ac:dyDescent="0.25">
      <c r="A16" s="1129" t="s">
        <v>150</v>
      </c>
      <c r="B16" s="1045"/>
      <c r="C16" s="923">
        <f>A2A!C38</f>
        <v>0</v>
      </c>
      <c r="D16" s="923">
        <f>A2A!D38</f>
        <v>0</v>
      </c>
      <c r="E16" s="924">
        <f>A2A!E38</f>
        <v>330393</v>
      </c>
      <c r="F16" s="925">
        <f>A2A!F38</f>
        <v>930000</v>
      </c>
      <c r="G16" s="923">
        <f>A2A!G38</f>
        <v>930000</v>
      </c>
      <c r="H16" s="926">
        <f>A2A!H38</f>
        <v>930000</v>
      </c>
      <c r="I16" s="927">
        <f>A2A!I38</f>
        <v>750000</v>
      </c>
      <c r="J16" s="923">
        <f>A2A!J38</f>
        <v>788000</v>
      </c>
      <c r="K16" s="924">
        <f>A2A!K38</f>
        <v>0</v>
      </c>
      <c r="L16" s="247"/>
      <c r="Q16" s="130"/>
      <c r="R16" s="131"/>
    </row>
    <row r="17" spans="1:18" ht="11.25" customHeight="1" x14ac:dyDescent="0.25">
      <c r="A17" s="1129" t="s">
        <v>151</v>
      </c>
      <c r="B17" s="1045"/>
      <c r="C17" s="923">
        <f>A2A!C42</f>
        <v>6966560.0899999999</v>
      </c>
      <c r="D17" s="923">
        <f>A2A!D42</f>
        <v>4847744.2</v>
      </c>
      <c r="E17" s="924">
        <f>A2A!E42</f>
        <v>37264219</v>
      </c>
      <c r="F17" s="925">
        <f>A2A!F42</f>
        <v>12537441.859999999</v>
      </c>
      <c r="G17" s="923">
        <f>A2A!G42</f>
        <v>10946090.77</v>
      </c>
      <c r="H17" s="926">
        <f>A2A!H42</f>
        <v>10946090.77</v>
      </c>
      <c r="I17" s="927">
        <f>A2A!I42</f>
        <v>43848217.079999998</v>
      </c>
      <c r="J17" s="923">
        <f>A2A!J42</f>
        <v>46826090.109999999</v>
      </c>
      <c r="K17" s="924">
        <f>A2A!K42</f>
        <v>50392915.509999998</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37231456.830000006</v>
      </c>
      <c r="D19" s="990">
        <f t="shared" ref="D19:K19" si="3">SUM(D20:D23)</f>
        <v>44095374.93</v>
      </c>
      <c r="E19" s="991">
        <f t="shared" si="3"/>
        <v>43677192</v>
      </c>
      <c r="F19" s="992">
        <f t="shared" si="3"/>
        <v>54223957.120000005</v>
      </c>
      <c r="G19" s="990">
        <f t="shared" si="3"/>
        <v>54223957.120000005</v>
      </c>
      <c r="H19" s="993">
        <f t="shared" si="3"/>
        <v>54223957.120000005</v>
      </c>
      <c r="I19" s="994">
        <f t="shared" si="3"/>
        <v>58722181.68</v>
      </c>
      <c r="J19" s="990">
        <f>SUM(J20:J23)</f>
        <v>62245512.579999998</v>
      </c>
      <c r="K19" s="991">
        <f t="shared" si="3"/>
        <v>65980243.329999998</v>
      </c>
      <c r="L19" s="247"/>
      <c r="Q19" s="130"/>
      <c r="R19" s="131"/>
    </row>
    <row r="20" spans="1:18" ht="11.25" customHeight="1" x14ac:dyDescent="0.25">
      <c r="A20" s="1129" t="s">
        <v>612</v>
      </c>
      <c r="B20" s="1045"/>
      <c r="C20" s="923">
        <f>A2A!C53</f>
        <v>32952161.720000003</v>
      </c>
      <c r="D20" s="923">
        <f>A2A!D53</f>
        <v>40676506.450000003</v>
      </c>
      <c r="E20" s="924">
        <f>A2A!E53</f>
        <v>39268658</v>
      </c>
      <c r="F20" s="925">
        <f>A2A!F53</f>
        <v>50356628.200000003</v>
      </c>
      <c r="G20" s="923">
        <f>A2A!G53</f>
        <v>50356628.200000003</v>
      </c>
      <c r="H20" s="926">
        <f>A2A!H53</f>
        <v>50356628.200000003</v>
      </c>
      <c r="I20" s="927">
        <f>A2A!I53</f>
        <v>54314659.18</v>
      </c>
      <c r="J20" s="923">
        <f>A2A!J53</f>
        <v>57573538.729999997</v>
      </c>
      <c r="K20" s="924">
        <f>A2A!K53</f>
        <v>61027951.049999997</v>
      </c>
      <c r="L20" s="247"/>
      <c r="Q20" s="130"/>
      <c r="R20" s="131"/>
    </row>
    <row r="21" spans="1:18" ht="11.25" customHeight="1" x14ac:dyDescent="0.25">
      <c r="A21" s="1129" t="s">
        <v>908</v>
      </c>
      <c r="B21" s="1045"/>
      <c r="C21" s="923">
        <f>A2A!C56</f>
        <v>1338775.43</v>
      </c>
      <c r="D21" s="923">
        <f>A2A!D56</f>
        <v>0</v>
      </c>
      <c r="E21" s="924">
        <f>A2A!E56</f>
        <v>0</v>
      </c>
      <c r="F21" s="925">
        <f>A2A!F56</f>
        <v>0</v>
      </c>
      <c r="G21" s="923">
        <f>A2A!G56</f>
        <v>0</v>
      </c>
      <c r="H21" s="926">
        <f>A2A!H56</f>
        <v>0</v>
      </c>
      <c r="I21" s="927">
        <f>A2A!I56</f>
        <v>0</v>
      </c>
      <c r="J21" s="923">
        <f>A2A!J56</f>
        <v>0</v>
      </c>
      <c r="K21" s="924">
        <f>A2A!K56</f>
        <v>0</v>
      </c>
      <c r="L21" s="247"/>
      <c r="Q21" s="130"/>
      <c r="R21" s="131"/>
    </row>
    <row r="22" spans="1:18" ht="11.25" customHeight="1" x14ac:dyDescent="0.25">
      <c r="A22" s="1129" t="s">
        <v>1083</v>
      </c>
      <c r="B22" s="1045"/>
      <c r="C22" s="1318">
        <f>A2A!C59</f>
        <v>0</v>
      </c>
      <c r="D22" s="1318">
        <f>A2A!D59</f>
        <v>0</v>
      </c>
      <c r="E22" s="1319">
        <f>A2A!E59</f>
        <v>0</v>
      </c>
      <c r="F22" s="1320">
        <f>A2A!F59</f>
        <v>0</v>
      </c>
      <c r="G22" s="1318">
        <f>A2A!G59</f>
        <v>0</v>
      </c>
      <c r="H22" s="1321">
        <f>A2A!H59</f>
        <v>0</v>
      </c>
      <c r="I22" s="1322">
        <f>A2A!I59</f>
        <v>0</v>
      </c>
      <c r="J22" s="1318">
        <f>A2A!J59</f>
        <v>0</v>
      </c>
      <c r="K22" s="1319">
        <f>A2A!K59</f>
        <v>0</v>
      </c>
      <c r="L22" s="247"/>
      <c r="Q22" s="130"/>
      <c r="R22" s="131"/>
    </row>
    <row r="23" spans="1:18" ht="11.25" customHeight="1" x14ac:dyDescent="0.25">
      <c r="A23" s="1129" t="s">
        <v>1084</v>
      </c>
      <c r="B23" s="1045"/>
      <c r="C23" s="923">
        <f>A2A!C63</f>
        <v>2940519.6799999997</v>
      </c>
      <c r="D23" s="923">
        <f>A2A!D63</f>
        <v>3418868.48</v>
      </c>
      <c r="E23" s="924">
        <f>A2A!E63</f>
        <v>4408534</v>
      </c>
      <c r="F23" s="925">
        <f>A2A!F63</f>
        <v>3867328.92</v>
      </c>
      <c r="G23" s="923">
        <f>A2A!G63</f>
        <v>3867328.92</v>
      </c>
      <c r="H23" s="926">
        <f>A2A!H63</f>
        <v>3867328.92</v>
      </c>
      <c r="I23" s="927">
        <f>A2A!I63</f>
        <v>4407522.5</v>
      </c>
      <c r="J23" s="923">
        <f>A2A!J63</f>
        <v>4671973.8499999996</v>
      </c>
      <c r="K23" s="924">
        <f>A2A!K63</f>
        <v>4952292.28</v>
      </c>
      <c r="L23" s="247"/>
      <c r="Q23" s="130"/>
      <c r="R23" s="131"/>
    </row>
    <row r="24" spans="1:18" ht="11.25" customHeight="1" x14ac:dyDescent="0.25">
      <c r="A24" s="1128" t="s">
        <v>276</v>
      </c>
      <c r="B24" s="989">
        <v>4</v>
      </c>
      <c r="C24" s="990">
        <f>A2A!C65</f>
        <v>0</v>
      </c>
      <c r="D24" s="990">
        <f>A2A!D65</f>
        <v>0</v>
      </c>
      <c r="E24" s="991">
        <f>A2A!E65</f>
        <v>0</v>
      </c>
      <c r="F24" s="992">
        <f>A2A!F65</f>
        <v>0</v>
      </c>
      <c r="G24" s="990">
        <f>A2A!G65</f>
        <v>0</v>
      </c>
      <c r="H24" s="993">
        <f>A2A!H65</f>
        <v>0</v>
      </c>
      <c r="I24" s="994">
        <f>A2A!I65</f>
        <v>0</v>
      </c>
      <c r="J24" s="990">
        <f>A2A!J65</f>
        <v>0</v>
      </c>
      <c r="K24" s="991">
        <f>A2A!K65</f>
        <v>0</v>
      </c>
      <c r="L24" s="247"/>
      <c r="Q24" s="123"/>
      <c r="R24" s="131"/>
    </row>
    <row r="25" spans="1:18" ht="11.25" customHeight="1" x14ac:dyDescent="0.25">
      <c r="A25" s="1218" t="str">
        <f>"Total "&amp;A4</f>
        <v>Total Revenue - Standard</v>
      </c>
      <c r="B25" s="1219">
        <v>2</v>
      </c>
      <c r="C25" s="686">
        <f>C5+C9+C15+C19+C24</f>
        <v>178889176.97020003</v>
      </c>
      <c r="D25" s="686">
        <f>D5+D9+D15+D19+D24</f>
        <v>180545507.99999997</v>
      </c>
      <c r="E25" s="687">
        <f t="shared" ref="E25:K25" si="4">E5+E9+E15+E19+E24</f>
        <v>218730213</v>
      </c>
      <c r="F25" s="688">
        <f t="shared" si="4"/>
        <v>257174350.69</v>
      </c>
      <c r="G25" s="686">
        <f t="shared" si="4"/>
        <v>259141861.60000002</v>
      </c>
      <c r="H25" s="689">
        <f t="shared" si="4"/>
        <v>259141861.60000002</v>
      </c>
      <c r="I25" s="967">
        <f>I5+I9+I15+I19+I24</f>
        <v>261768865.43000001</v>
      </c>
      <c r="J25" s="686">
        <f t="shared" si="4"/>
        <v>279101537.33999997</v>
      </c>
      <c r="K25" s="687">
        <f t="shared" si="4"/>
        <v>296482729.57999998</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77096770.842999995</v>
      </c>
      <c r="D28" s="990">
        <f t="shared" ref="D28:K28" si="5">SUM(D29:D31)</f>
        <v>86797331.979999989</v>
      </c>
      <c r="E28" s="1263">
        <f t="shared" si="5"/>
        <v>100171991.40879999</v>
      </c>
      <c r="F28" s="994">
        <f t="shared" si="5"/>
        <v>137009646.00999999</v>
      </c>
      <c r="G28" s="990">
        <f t="shared" si="5"/>
        <v>135544676.44999999</v>
      </c>
      <c r="H28" s="1264">
        <f t="shared" si="5"/>
        <v>135544676.44999999</v>
      </c>
      <c r="I28" s="1265">
        <f t="shared" si="5"/>
        <v>146945439.31877449</v>
      </c>
      <c r="J28" s="990">
        <f t="shared" si="5"/>
        <v>153807085.67999998</v>
      </c>
      <c r="K28" s="1264">
        <f t="shared" si="5"/>
        <v>163161810.81999999</v>
      </c>
      <c r="L28" s="247"/>
    </row>
    <row r="29" spans="1:18" ht="11.25" customHeight="1" x14ac:dyDescent="0.25">
      <c r="A29" s="1129" t="str">
        <f t="shared" ref="A29:A47" si="6">A6</f>
        <v>Executive and council</v>
      </c>
      <c r="B29" s="1045"/>
      <c r="C29" s="923">
        <f>A2A!C75</f>
        <v>19950000</v>
      </c>
      <c r="D29" s="923">
        <f>A2A!D75</f>
        <v>21147000</v>
      </c>
      <c r="E29" s="924">
        <f>A2A!E75</f>
        <v>22460529.399999999</v>
      </c>
      <c r="F29" s="925">
        <f>A2A!F75</f>
        <v>31435760.09</v>
      </c>
      <c r="G29" s="923">
        <f>A2A!G75</f>
        <v>29700198.799999997</v>
      </c>
      <c r="H29" s="926">
        <f>A2A!H75</f>
        <v>29700198.799999997</v>
      </c>
      <c r="I29" s="927">
        <f>A2A!I75</f>
        <v>33511026.580734007</v>
      </c>
      <c r="J29" s="923">
        <f>A2A!J75</f>
        <v>33340208.18</v>
      </c>
      <c r="K29" s="924">
        <f>A2A!K75</f>
        <v>35340620.660000004</v>
      </c>
      <c r="L29" s="247"/>
    </row>
    <row r="30" spans="1:18" ht="11.25" customHeight="1" x14ac:dyDescent="0.25">
      <c r="A30" s="1129" t="str">
        <f t="shared" si="6"/>
        <v>Budget and treasury office</v>
      </c>
      <c r="B30" s="1045"/>
      <c r="C30" s="1318">
        <f>A2A!C78</f>
        <v>41971770.843000002</v>
      </c>
      <c r="D30" s="1318">
        <f>A2A!D78</f>
        <v>47264831.979999997</v>
      </c>
      <c r="E30" s="1319">
        <f>A2A!E78</f>
        <v>56788387.398800001</v>
      </c>
      <c r="F30" s="1320">
        <f>A2A!F78</f>
        <v>82279798.849999994</v>
      </c>
      <c r="G30" s="1318">
        <f>A2A!G78</f>
        <v>82558732.519999996</v>
      </c>
      <c r="H30" s="1321">
        <f>A2A!H78</f>
        <v>82558732.519999996</v>
      </c>
      <c r="I30" s="1322">
        <f>A2A!I78</f>
        <v>87598437.310000002</v>
      </c>
      <c r="J30" s="1318">
        <f>A2A!J78</f>
        <v>93080743.549999997</v>
      </c>
      <c r="K30" s="1319">
        <f>A2A!K78</f>
        <v>98791888.159999996</v>
      </c>
      <c r="L30" s="247"/>
    </row>
    <row r="31" spans="1:18" ht="11.25" customHeight="1" x14ac:dyDescent="0.25">
      <c r="A31" s="1129" t="str">
        <f t="shared" si="6"/>
        <v>Corporate services</v>
      </c>
      <c r="B31" s="1045"/>
      <c r="C31" s="923">
        <f>A2A!C79</f>
        <v>15175000</v>
      </c>
      <c r="D31" s="923">
        <f>A2A!D79</f>
        <v>18385500</v>
      </c>
      <c r="E31" s="924">
        <f>A2A!E79</f>
        <v>20923074.609999999</v>
      </c>
      <c r="F31" s="925">
        <f>A2A!F79</f>
        <v>23294087.07</v>
      </c>
      <c r="G31" s="923">
        <f>A2A!G79</f>
        <v>23285745.129999999</v>
      </c>
      <c r="H31" s="926">
        <f>A2A!H79</f>
        <v>23285745.129999999</v>
      </c>
      <c r="I31" s="927">
        <f>A2A!I79</f>
        <v>25835975.428040482</v>
      </c>
      <c r="J31" s="923">
        <f>A2A!J79</f>
        <v>27386133.949999999</v>
      </c>
      <c r="K31" s="924">
        <f>A2A!K79</f>
        <v>29029302</v>
      </c>
      <c r="L31" s="247"/>
    </row>
    <row r="32" spans="1:18" ht="11.25" customHeight="1" x14ac:dyDescent="0.25">
      <c r="A32" s="1128" t="str">
        <f t="shared" si="6"/>
        <v>Community and public safety</v>
      </c>
      <c r="B32" s="1045"/>
      <c r="C32" s="990">
        <f>SUM(C33:C37)</f>
        <v>20470406.087779999</v>
      </c>
      <c r="D32" s="990">
        <f t="shared" ref="D32:K32" si="7">SUM(D33:D37)</f>
        <v>23378630.451134998</v>
      </c>
      <c r="E32" s="991">
        <f t="shared" si="7"/>
        <v>20564711.881999999</v>
      </c>
      <c r="F32" s="992">
        <f t="shared" si="7"/>
        <v>49942430.560000002</v>
      </c>
      <c r="G32" s="990">
        <f t="shared" si="7"/>
        <v>48191898.289999999</v>
      </c>
      <c r="H32" s="993">
        <f t="shared" si="7"/>
        <v>48191898.289999999</v>
      </c>
      <c r="I32" s="994">
        <f t="shared" si="7"/>
        <v>36155591.777176194</v>
      </c>
      <c r="J32" s="990">
        <f t="shared" si="7"/>
        <v>38324927.289999999</v>
      </c>
      <c r="K32" s="991">
        <f t="shared" si="7"/>
        <v>40624422.93</v>
      </c>
      <c r="L32" s="247"/>
    </row>
    <row r="33" spans="1:17" ht="11.25" customHeight="1" x14ac:dyDescent="0.25">
      <c r="A33" s="1129" t="str">
        <f t="shared" si="6"/>
        <v>Community and social services</v>
      </c>
      <c r="B33" s="1045"/>
      <c r="C33" s="923">
        <f>A2A!C85</f>
        <v>7123077.324</v>
      </c>
      <c r="D33" s="923">
        <f>A2A!D85</f>
        <v>7850461.9633999998</v>
      </c>
      <c r="E33" s="924">
        <f>A2A!E85</f>
        <v>9498990.0120000001</v>
      </c>
      <c r="F33" s="925">
        <f>A2A!F85</f>
        <v>23079479.879999999</v>
      </c>
      <c r="G33" s="923">
        <f>A2A!G85</f>
        <v>21775987.18</v>
      </c>
      <c r="H33" s="926">
        <f>A2A!H85</f>
        <v>21775987.18</v>
      </c>
      <c r="I33" s="927">
        <f>A2A!I85</f>
        <v>9485323.9679113198</v>
      </c>
      <c r="J33" s="923">
        <f>A2A!J85</f>
        <v>10054443.41</v>
      </c>
      <c r="K33" s="924">
        <f>A2A!K85</f>
        <v>10657710.02</v>
      </c>
      <c r="L33" s="247"/>
    </row>
    <row r="34" spans="1:17" ht="11.25" customHeight="1" x14ac:dyDescent="0.25">
      <c r="A34" s="1129" t="str">
        <f t="shared" si="6"/>
        <v>Sport and recreation</v>
      </c>
      <c r="B34" s="1045"/>
      <c r="C34" s="923">
        <f>A2A!C94</f>
        <v>283552.86577999999</v>
      </c>
      <c r="D34" s="923">
        <f>A2A!D94</f>
        <v>310566.03773500002</v>
      </c>
      <c r="E34" s="924">
        <f>A2A!E94</f>
        <v>318600</v>
      </c>
      <c r="F34" s="925">
        <f>A2A!F94</f>
        <v>1573122.04</v>
      </c>
      <c r="G34" s="923">
        <f>A2A!G94</f>
        <v>1508440.04</v>
      </c>
      <c r="H34" s="926">
        <f>A2A!H94</f>
        <v>1508440.04</v>
      </c>
      <c r="I34" s="927">
        <f>A2A!I94</f>
        <v>2094573.0984</v>
      </c>
      <c r="J34" s="923">
        <f>A2A!J94</f>
        <v>2220247.48</v>
      </c>
      <c r="K34" s="924">
        <f>A2A!K94</f>
        <v>2353462.33</v>
      </c>
      <c r="L34" s="247"/>
    </row>
    <row r="35" spans="1:17" ht="11.25" customHeight="1" x14ac:dyDescent="0.25">
      <c r="A35" s="1129" t="str">
        <f t="shared" si="6"/>
        <v>Public safety</v>
      </c>
      <c r="B35" s="1045"/>
      <c r="C35" s="923">
        <f>A2A!C95</f>
        <v>7927000</v>
      </c>
      <c r="D35" s="923">
        <f>A2A!D95</f>
        <v>9772620</v>
      </c>
      <c r="E35" s="924">
        <f>A2A!E95</f>
        <v>4641816.87</v>
      </c>
      <c r="F35" s="925">
        <f>A2A!F95</f>
        <v>16485044.5</v>
      </c>
      <c r="G35" s="923">
        <f>A2A!G95</f>
        <v>16339108.83</v>
      </c>
      <c r="H35" s="926">
        <f>A2A!H95</f>
        <v>16339108.83</v>
      </c>
      <c r="I35" s="927">
        <f>A2A!I95</f>
        <v>15256325.279999999</v>
      </c>
      <c r="J35" s="923">
        <f>A2A!J95</f>
        <v>16171704.800000001</v>
      </c>
      <c r="K35" s="924">
        <f>A2A!K95</f>
        <v>17142007.079999998</v>
      </c>
      <c r="L35" s="247"/>
    </row>
    <row r="36" spans="1:17" ht="11.25" customHeight="1" x14ac:dyDescent="0.25">
      <c r="A36" s="1129" t="str">
        <f t="shared" si="6"/>
        <v>Housing</v>
      </c>
      <c r="B36" s="1045"/>
      <c r="C36" s="923">
        <f>A2A!C101</f>
        <v>4260775.898</v>
      </c>
      <c r="D36" s="923">
        <f>A2A!D101</f>
        <v>4516422.45</v>
      </c>
      <c r="E36" s="924">
        <f>A2A!E101</f>
        <v>5222227</v>
      </c>
      <c r="F36" s="925">
        <f>A2A!F101</f>
        <v>5271611.04</v>
      </c>
      <c r="G36" s="923">
        <f>A2A!G101</f>
        <v>5426122.3399999999</v>
      </c>
      <c r="H36" s="926">
        <f>A2A!H101</f>
        <v>5426122.3399999999</v>
      </c>
      <c r="I36" s="927">
        <f>A2A!I101</f>
        <v>5988595.1368648792</v>
      </c>
      <c r="J36" s="923">
        <f>A2A!J101</f>
        <v>6347910.8499999996</v>
      </c>
      <c r="K36" s="924">
        <f>A2A!K101</f>
        <v>6728785.5</v>
      </c>
      <c r="L36" s="247"/>
    </row>
    <row r="37" spans="1:17" ht="11.25" customHeight="1" x14ac:dyDescent="0.25">
      <c r="A37" s="1129" t="str">
        <f t="shared" si="6"/>
        <v>Health</v>
      </c>
      <c r="B37" s="1045"/>
      <c r="C37" s="1318">
        <f>A2A!C102</f>
        <v>876000</v>
      </c>
      <c r="D37" s="1318">
        <f>A2A!D102</f>
        <v>928560</v>
      </c>
      <c r="E37" s="1319">
        <f>A2A!E102</f>
        <v>883078</v>
      </c>
      <c r="F37" s="1320">
        <f>A2A!F102</f>
        <v>3533173.1</v>
      </c>
      <c r="G37" s="1318">
        <f>A2A!G102</f>
        <v>3142239.9</v>
      </c>
      <c r="H37" s="1321">
        <f>A2A!H102</f>
        <v>3142239.9</v>
      </c>
      <c r="I37" s="1322">
        <f>A2A!I102</f>
        <v>3330774.2939999993</v>
      </c>
      <c r="J37" s="1318">
        <f>A2A!J102</f>
        <v>3530620.75</v>
      </c>
      <c r="K37" s="1319">
        <f>A2A!K102</f>
        <v>3742458</v>
      </c>
      <c r="L37" s="247"/>
    </row>
    <row r="38" spans="1:17" ht="11.25" customHeight="1" x14ac:dyDescent="0.25">
      <c r="A38" s="1128" t="str">
        <f t="shared" si="6"/>
        <v>Economic and environmental services</v>
      </c>
      <c r="B38" s="989"/>
      <c r="C38" s="990">
        <f>SUM(C39:C41)</f>
        <v>22721333</v>
      </c>
      <c r="D38" s="990">
        <f t="shared" ref="D38:K38" si="8">SUM(D39:D41)</f>
        <v>24084612.98</v>
      </c>
      <c r="E38" s="991">
        <f t="shared" si="8"/>
        <v>21482058</v>
      </c>
      <c r="F38" s="992">
        <f t="shared" si="8"/>
        <v>66861322.289999999</v>
      </c>
      <c r="G38" s="990">
        <f t="shared" si="8"/>
        <v>68236414.709999993</v>
      </c>
      <c r="H38" s="993">
        <f t="shared" si="8"/>
        <v>68236414.709999993</v>
      </c>
      <c r="I38" s="994">
        <f t="shared" si="8"/>
        <v>92621149.971539363</v>
      </c>
      <c r="J38" s="990">
        <f t="shared" si="8"/>
        <v>98518398.970461503</v>
      </c>
      <c r="K38" s="991">
        <f t="shared" si="8"/>
        <v>105186762.9048892</v>
      </c>
      <c r="L38" s="247"/>
    </row>
    <row r="39" spans="1:17" ht="11.25" customHeight="1" x14ac:dyDescent="0.25">
      <c r="A39" s="1129" t="str">
        <f t="shared" si="6"/>
        <v>Planning and development</v>
      </c>
      <c r="B39" s="1045"/>
      <c r="C39" s="923">
        <f>A2A!C107</f>
        <v>5184000</v>
      </c>
      <c r="D39" s="923">
        <f>A2A!D107</f>
        <v>5495040</v>
      </c>
      <c r="E39" s="924">
        <f>A2A!E107</f>
        <v>5824742.4000000004</v>
      </c>
      <c r="F39" s="925">
        <f>A2A!F107</f>
        <v>4507293.3499999996</v>
      </c>
      <c r="G39" s="923">
        <f>A2A!G107</f>
        <v>4298753.7</v>
      </c>
      <c r="H39" s="926">
        <f>A2A!H107</f>
        <v>4298753.7</v>
      </c>
      <c r="I39" s="927">
        <f>A2A!I107</f>
        <v>4855376.6139341807</v>
      </c>
      <c r="J39" s="923">
        <f>A2A!J107</f>
        <v>5139699.21</v>
      </c>
      <c r="K39" s="924">
        <f>A2A!K107</f>
        <v>5448081.1600000001</v>
      </c>
      <c r="L39" s="247"/>
    </row>
    <row r="40" spans="1:17" ht="11.25" customHeight="1" x14ac:dyDescent="0.25">
      <c r="A40" s="1129" t="str">
        <f t="shared" si="6"/>
        <v>Road transport</v>
      </c>
      <c r="B40" s="1045"/>
      <c r="C40" s="923">
        <f>A2A!C111</f>
        <v>17537333</v>
      </c>
      <c r="D40" s="923">
        <f>A2A!D111</f>
        <v>18589572.98</v>
      </c>
      <c r="E40" s="924">
        <f>A2A!E111</f>
        <v>15657315.6</v>
      </c>
      <c r="F40" s="925">
        <f>A2A!F111</f>
        <v>62354028.939999998</v>
      </c>
      <c r="G40" s="923">
        <f>A2A!G111</f>
        <v>63937661.009999998</v>
      </c>
      <c r="H40" s="926">
        <f>A2A!H111</f>
        <v>63937661.009999998</v>
      </c>
      <c r="I40" s="927">
        <f>A2A!I111</f>
        <v>87765773.357605189</v>
      </c>
      <c r="J40" s="923">
        <f>A2A!J111</f>
        <v>93378699.760461509</v>
      </c>
      <c r="K40" s="924">
        <f>A2A!K111</f>
        <v>99738681.7448892</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33117000</v>
      </c>
      <c r="D42" s="990">
        <f t="shared" ref="D42:J42" si="9">SUM(D43:D46)</f>
        <v>34004020</v>
      </c>
      <c r="E42" s="991">
        <f t="shared" si="9"/>
        <v>36654948.710000001</v>
      </c>
      <c r="F42" s="992">
        <f>SUM(F43:F46)</f>
        <v>51603593.619999997</v>
      </c>
      <c r="G42" s="990">
        <f t="shared" si="9"/>
        <v>46862376.540000007</v>
      </c>
      <c r="H42" s="993">
        <f t="shared" si="9"/>
        <v>46862376.540000007</v>
      </c>
      <c r="I42" s="994">
        <f t="shared" si="9"/>
        <v>38304684.346232004</v>
      </c>
      <c r="J42" s="990">
        <f t="shared" si="9"/>
        <v>40602965.399999999</v>
      </c>
      <c r="K42" s="991">
        <f>SUM(K43:K46)</f>
        <v>43039143.329999998</v>
      </c>
      <c r="L42" s="247"/>
    </row>
    <row r="43" spans="1:17" ht="11.25" customHeight="1" x14ac:dyDescent="0.25">
      <c r="A43" s="1129" t="str">
        <f t="shared" si="6"/>
        <v>Electricity</v>
      </c>
      <c r="B43" s="1045"/>
      <c r="C43" s="923">
        <f>A2A!C122</f>
        <v>27955000</v>
      </c>
      <c r="D43" s="923">
        <f>A2A!D122</f>
        <v>28332300</v>
      </c>
      <c r="E43" s="924">
        <f>A2A!E122</f>
        <v>31653987.710000001</v>
      </c>
      <c r="F43" s="925">
        <f>A2A!F122</f>
        <v>27220941.140000001</v>
      </c>
      <c r="G43" s="923">
        <f>A2A!G122</f>
        <v>27220941.140000001</v>
      </c>
      <c r="H43" s="926">
        <f>A2A!H122</f>
        <v>27220941.140000001</v>
      </c>
      <c r="I43" s="927">
        <f>A2A!I122</f>
        <v>29779709.607160002</v>
      </c>
      <c r="J43" s="923">
        <f>A2A!J122</f>
        <v>31566492.18</v>
      </c>
      <c r="K43" s="924">
        <f>A2A!K122</f>
        <v>33460481.710000001</v>
      </c>
      <c r="L43" s="247"/>
    </row>
    <row r="44" spans="1:17" ht="11.25" customHeight="1" x14ac:dyDescent="0.25">
      <c r="A44" s="1129" t="str">
        <f t="shared" si="6"/>
        <v>Water</v>
      </c>
      <c r="B44" s="1045"/>
      <c r="C44" s="923">
        <f>A2A!C125</f>
        <v>0</v>
      </c>
      <c r="D44" s="923">
        <f>A2A!D125</f>
        <v>0</v>
      </c>
      <c r="E44" s="924">
        <f>A2A!E125</f>
        <v>0</v>
      </c>
      <c r="F44" s="925">
        <f>A2A!F125</f>
        <v>0</v>
      </c>
      <c r="G44" s="923">
        <f>A2A!G125</f>
        <v>0</v>
      </c>
      <c r="H44" s="926">
        <f>A2A!H125</f>
        <v>0</v>
      </c>
      <c r="I44" s="927">
        <f>A2A!I125</f>
        <v>0</v>
      </c>
      <c r="J44" s="923">
        <f>A2A!J125</f>
        <v>0</v>
      </c>
      <c r="K44" s="924">
        <f>A2A!K125</f>
        <v>0</v>
      </c>
      <c r="L44" s="247"/>
    </row>
    <row r="45" spans="1:17" ht="11.25" customHeight="1" x14ac:dyDescent="0.25">
      <c r="A45" s="1129" t="str">
        <f t="shared" si="6"/>
        <v>Waste water management</v>
      </c>
      <c r="B45" s="1045"/>
      <c r="C45" s="1318">
        <f>A2A!C128</f>
        <v>0</v>
      </c>
      <c r="D45" s="1318">
        <f>A2A!D128</f>
        <v>0</v>
      </c>
      <c r="E45" s="1319">
        <f>A2A!E128</f>
        <v>0</v>
      </c>
      <c r="F45" s="1320">
        <f>A2A!F128</f>
        <v>17606914.690000001</v>
      </c>
      <c r="G45" s="1318">
        <f>A2A!G128</f>
        <v>12917898.130000001</v>
      </c>
      <c r="H45" s="1321">
        <f>A2A!H128</f>
        <v>12917898.130000001</v>
      </c>
      <c r="I45" s="1322">
        <f>A2A!I128</f>
        <v>0</v>
      </c>
      <c r="J45" s="1318">
        <f>A2A!J128</f>
        <v>0</v>
      </c>
      <c r="K45" s="1319">
        <f>A2A!K128</f>
        <v>0</v>
      </c>
      <c r="L45" s="247"/>
    </row>
    <row r="46" spans="1:17" ht="11.25" customHeight="1" x14ac:dyDescent="0.25">
      <c r="A46" s="1129" t="str">
        <f t="shared" si="6"/>
        <v>Waste management</v>
      </c>
      <c r="B46" s="1045"/>
      <c r="C46" s="923">
        <f>A2A!C132</f>
        <v>5162000</v>
      </c>
      <c r="D46" s="923">
        <f>A2A!D132</f>
        <v>5671720</v>
      </c>
      <c r="E46" s="924">
        <f>A2A!E132</f>
        <v>5000961</v>
      </c>
      <c r="F46" s="925">
        <f>A2A!F132</f>
        <v>6775737.79</v>
      </c>
      <c r="G46" s="923">
        <f>A2A!G132</f>
        <v>6723537.2699999996</v>
      </c>
      <c r="H46" s="926">
        <f>A2A!H132</f>
        <v>6723537.2699999996</v>
      </c>
      <c r="I46" s="927">
        <f>A2A!I132</f>
        <v>8524974.7390720025</v>
      </c>
      <c r="J46" s="923">
        <f>A2A!J132</f>
        <v>9036473.2200000007</v>
      </c>
      <c r="K46" s="924">
        <f>A2A!K132</f>
        <v>9578661.6199999992</v>
      </c>
      <c r="L46" s="247"/>
    </row>
    <row r="47" spans="1:17" ht="11.25" customHeight="1" x14ac:dyDescent="0.25">
      <c r="A47" s="1128" t="str">
        <f t="shared" si="6"/>
        <v>Other</v>
      </c>
      <c r="B47" s="989">
        <v>4</v>
      </c>
      <c r="C47" s="990">
        <f>A2A!C134</f>
        <v>0</v>
      </c>
      <c r="D47" s="990">
        <f>A2A!D134</f>
        <v>0</v>
      </c>
      <c r="E47" s="991">
        <f>A2A!E134</f>
        <v>0</v>
      </c>
      <c r="F47" s="992">
        <f>A2A!F134</f>
        <v>0</v>
      </c>
      <c r="G47" s="990">
        <f>A2A!G134</f>
        <v>0</v>
      </c>
      <c r="H47" s="993">
        <f>A2A!H134</f>
        <v>0</v>
      </c>
      <c r="I47" s="994">
        <f>A2A!I134</f>
        <v>0</v>
      </c>
      <c r="J47" s="990">
        <f>A2A!J134</f>
        <v>0</v>
      </c>
      <c r="K47" s="991">
        <f>A2A!K134</f>
        <v>0</v>
      </c>
      <c r="L47" s="247"/>
    </row>
    <row r="48" spans="1:17" ht="11.25" customHeight="1" x14ac:dyDescent="0.25">
      <c r="A48" s="1218" t="str">
        <f>"Total "&amp;A27</f>
        <v>Total Expenditure - Standard</v>
      </c>
      <c r="B48" s="1219">
        <v>3</v>
      </c>
      <c r="C48" s="686">
        <f>C28+C32+C38+C42+C47</f>
        <v>153405509.93077999</v>
      </c>
      <c r="D48" s="686">
        <f>D28+D32+D38+D42+D47</f>
        <v>168264595.41113499</v>
      </c>
      <c r="E48" s="687">
        <f>E28+E32+E38+E42+E47</f>
        <v>178873710.00079998</v>
      </c>
      <c r="F48" s="688">
        <f t="shared" ref="F48:K48" si="10">F28+F32+F38+F42+F47</f>
        <v>305416992.47999996</v>
      </c>
      <c r="G48" s="686">
        <f t="shared" si="10"/>
        <v>298835365.99000001</v>
      </c>
      <c r="H48" s="689">
        <f t="shared" si="10"/>
        <v>298835365.99000001</v>
      </c>
      <c r="I48" s="967">
        <f t="shared" si="10"/>
        <v>314026865.41372204</v>
      </c>
      <c r="J48" s="686">
        <f t="shared" si="10"/>
        <v>331253377.34046143</v>
      </c>
      <c r="K48" s="687">
        <f t="shared" si="10"/>
        <v>352012139.98488921</v>
      </c>
      <c r="L48" s="247"/>
      <c r="Q48" s="158"/>
    </row>
    <row r="49" spans="1:12" x14ac:dyDescent="0.25">
      <c r="A49" s="1048" t="str">
        <f>result</f>
        <v>Surplus/(Deficit) for the year</v>
      </c>
      <c r="B49" s="1049"/>
      <c r="C49" s="161">
        <f>C25-C48</f>
        <v>25483667.039420038</v>
      </c>
      <c r="D49" s="161">
        <f t="shared" ref="D49:K49" si="11">D25-D48</f>
        <v>12280912.588864982</v>
      </c>
      <c r="E49" s="162">
        <f t="shared" si="11"/>
        <v>39856502.999200016</v>
      </c>
      <c r="F49" s="163">
        <f t="shared" si="11"/>
        <v>-48242641.789999962</v>
      </c>
      <c r="G49" s="161">
        <f t="shared" si="11"/>
        <v>-39693504.389999986</v>
      </c>
      <c r="H49" s="160">
        <f t="shared" si="11"/>
        <v>-39693504.389999986</v>
      </c>
      <c r="I49" s="164">
        <f t="shared" si="11"/>
        <v>-52257999.983722031</v>
      </c>
      <c r="J49" s="161">
        <f t="shared" si="11"/>
        <v>-52151840.000461459</v>
      </c>
      <c r="K49" s="162">
        <f t="shared" si="11"/>
        <v>-55529410.404889226</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1082</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57" t="s">
        <v>1155</v>
      </c>
      <c r="B54" s="2657"/>
      <c r="C54" s="2657"/>
      <c r="D54" s="2657"/>
      <c r="E54" s="2657"/>
      <c r="F54" s="2657"/>
      <c r="G54" s="2657"/>
      <c r="H54" s="2657"/>
      <c r="I54" s="2657"/>
      <c r="J54" s="2657"/>
      <c r="K54" s="2657"/>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2.0003318786621094E-4</v>
      </c>
      <c r="D57" s="167">
        <f>D25-'A4-FinPerf RE'!D60</f>
        <v>0</v>
      </c>
      <c r="E57" s="890">
        <f>E25-'A4-FinPerf RE'!E60</f>
        <v>0</v>
      </c>
      <c r="F57" s="167">
        <f>F25-'A4-FinPerf RE'!F60</f>
        <v>-2.0000338554382324E-4</v>
      </c>
      <c r="G57" s="167">
        <f>G25-'A4-FinPerf RE'!G60</f>
        <v>0</v>
      </c>
      <c r="H57" s="167">
        <f>H25-'A4-FinPerf RE'!H60</f>
        <v>0</v>
      </c>
      <c r="I57" s="167">
        <f>I25-'A4-FinPerf RE'!J60</f>
        <v>6.6679984331130981E-2</v>
      </c>
      <c r="J57" s="167">
        <f>J25-'A4-FinPerf RE'!K60</f>
        <v>-3.4919202327728271E-2</v>
      </c>
      <c r="K57" s="167">
        <f>K25-'A4-FinPerf RE'!L60</f>
        <v>-0.47781437635421753</v>
      </c>
    </row>
    <row r="58" spans="1:12" ht="11.25" customHeight="1" x14ac:dyDescent="0.25">
      <c r="A58" s="166" t="s">
        <v>829</v>
      </c>
      <c r="B58" s="121"/>
      <c r="C58" s="167">
        <f>C48-'A4-FinPerf RE'!C36</f>
        <v>7.7998638153076172E-4</v>
      </c>
      <c r="D58" s="167">
        <f>D48-'A4-FinPerf RE'!D36</f>
        <v>0.4111349880695343</v>
      </c>
      <c r="E58" s="890">
        <f>E48-'A4-FinPerf RE'!E36</f>
        <v>7.9998373985290527E-4</v>
      </c>
      <c r="F58" s="167">
        <f>F48-'A4-FinPerf RE'!F36</f>
        <v>-0.2000001072883606</v>
      </c>
      <c r="G58" s="167">
        <f>G48-'A4-FinPerf RE'!G36</f>
        <v>0</v>
      </c>
      <c r="H58" s="167">
        <f>H48-'A4-FinPerf RE'!H36</f>
        <v>0</v>
      </c>
      <c r="I58" s="167">
        <f>I48-'A4-FinPerf RE'!J36</f>
        <v>3.3620595932006836E-3</v>
      </c>
      <c r="J58" s="167">
        <f>J48-'A4-FinPerf RE'!K36</f>
        <v>-0.87062019109725952</v>
      </c>
      <c r="K58" s="167">
        <f>K48-'A4-FinPerf RE'!L36</f>
        <v>2.5627017021179199E-3</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27" zoomScaleNormal="100" workbookViewId="0">
      <selection activeCell="C133" sqref="C133"/>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603" t="str">
        <f>muni&amp;" - "&amp;Approve3</f>
        <v>LIM471 Ephraim Mogale - Table A2 Budgeted Financial Performance (revenue and expenditure by standard classification)</v>
      </c>
      <c r="B1" s="126"/>
      <c r="C1" s="126"/>
      <c r="D1" s="126"/>
      <c r="E1" s="126"/>
      <c r="F1" s="126"/>
      <c r="G1" s="126"/>
      <c r="H1" s="126"/>
      <c r="I1" s="126"/>
      <c r="J1" s="126"/>
      <c r="K1" s="126"/>
    </row>
    <row r="2" spans="1:18" ht="28.5" customHeight="1" x14ac:dyDescent="0.25">
      <c r="A2" s="2607" t="str">
        <f>"Standard Classification "&amp;desc</f>
        <v>Standard Classification Description</v>
      </c>
      <c r="B2" s="296" t="str">
        <f>head27</f>
        <v>Ref</v>
      </c>
      <c r="C2" s="28" t="str">
        <f>head1b</f>
        <v>2012/13</v>
      </c>
      <c r="D2" s="28" t="str">
        <f>head1A</f>
        <v>2013/14</v>
      </c>
      <c r="E2" s="2602" t="str">
        <f>Head1</f>
        <v>2014/15</v>
      </c>
      <c r="F2" s="2653" t="str">
        <f>Head2</f>
        <v>Current Year 2015/16</v>
      </c>
      <c r="G2" s="2654"/>
      <c r="H2" s="2658"/>
      <c r="I2" s="2650" t="str">
        <f>Head3</f>
        <v>2016/17 Medium Term Revenue &amp; Expenditure Framework</v>
      </c>
      <c r="J2" s="2651"/>
      <c r="K2" s="2652"/>
    </row>
    <row r="3" spans="1:18" ht="25.5" x14ac:dyDescent="0.25">
      <c r="A3" s="58" t="s">
        <v>625</v>
      </c>
      <c r="B3" s="2604">
        <v>1</v>
      </c>
      <c r="C3" s="2606" t="str">
        <f>Head5</f>
        <v>Audited Outcome</v>
      </c>
      <c r="D3" s="2606" t="str">
        <f>Head5</f>
        <v>Audited Outcome</v>
      </c>
      <c r="E3" s="268" t="str">
        <f>Head5</f>
        <v>Audited Outcome</v>
      </c>
      <c r="F3" s="2605" t="str">
        <f>Head6</f>
        <v>Original Budget</v>
      </c>
      <c r="G3" s="2606" t="str">
        <f>Head7</f>
        <v>Adjusted Budget</v>
      </c>
      <c r="H3" s="268" t="str">
        <f>Head8</f>
        <v>Full Year Forecast</v>
      </c>
      <c r="I3" s="2605" t="str">
        <f>Head9</f>
        <v>Budget Year 2016/17</v>
      </c>
      <c r="J3" s="2606" t="str">
        <f>Head10</f>
        <v>Budget Year +1 2017/18</v>
      </c>
      <c r="K3" s="268" t="str">
        <f>Head11</f>
        <v>Budget Year +2 2018/19</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105938685.38120002</v>
      </c>
      <c r="D5" s="1193">
        <f t="shared" ref="D5:K5" si="0">D6+D9+D10</f>
        <v>110878230.79999998</v>
      </c>
      <c r="E5" s="1359">
        <f t="shared" si="0"/>
        <v>137425907</v>
      </c>
      <c r="F5" s="1194">
        <f t="shared" si="0"/>
        <v>154115213.64000002</v>
      </c>
      <c r="G5" s="1193">
        <f t="shared" si="0"/>
        <v>154637193.64000002</v>
      </c>
      <c r="H5" s="1360">
        <f t="shared" si="0"/>
        <v>154637193.64000002</v>
      </c>
      <c r="I5" s="1361">
        <f t="shared" si="0"/>
        <v>155878745.25999999</v>
      </c>
      <c r="J5" s="1193">
        <f t="shared" si="0"/>
        <v>166518029.97</v>
      </c>
      <c r="K5" s="1360">
        <f t="shared" si="0"/>
        <v>177222231.77000001</v>
      </c>
      <c r="L5" s="247"/>
      <c r="Q5" s="130"/>
      <c r="R5" s="131"/>
    </row>
    <row r="6" spans="1:18" ht="11.25" customHeight="1" x14ac:dyDescent="0.25">
      <c r="A6" s="1187" t="s">
        <v>142</v>
      </c>
      <c r="B6" s="1045"/>
      <c r="C6" s="970">
        <f>SUM(C7:C8)</f>
        <v>6803812.2999999998</v>
      </c>
      <c r="D6" s="970">
        <f>SUM(D7:D8)</f>
        <v>1760665.95</v>
      </c>
      <c r="E6" s="1276">
        <f t="shared" ref="E6:K6" si="1">SUM(E7:E8)</f>
        <v>7384202</v>
      </c>
      <c r="F6" s="971">
        <f t="shared" si="1"/>
        <v>8168134.71</v>
      </c>
      <c r="G6" s="970">
        <f t="shared" si="1"/>
        <v>7832325.3600000003</v>
      </c>
      <c r="H6" s="1007">
        <f t="shared" si="1"/>
        <v>7832325.3600000003</v>
      </c>
      <c r="I6" s="1277">
        <f t="shared" si="1"/>
        <v>8286104.8799999999</v>
      </c>
      <c r="J6" s="970">
        <f t="shared" si="1"/>
        <v>7382111.1699999999</v>
      </c>
      <c r="K6" s="1007">
        <f t="shared" si="1"/>
        <v>7756537.8399999999</v>
      </c>
      <c r="L6" s="247"/>
      <c r="Q6" s="130"/>
      <c r="R6" s="131"/>
    </row>
    <row r="7" spans="1:18" ht="11.25" customHeight="1" x14ac:dyDescent="0.25">
      <c r="A7" s="1402" t="s">
        <v>318</v>
      </c>
      <c r="B7" s="1045"/>
      <c r="C7" s="2088">
        <v>6802888.2999999998</v>
      </c>
      <c r="D7" s="2088">
        <v>1760665.95</v>
      </c>
      <c r="E7" s="2089">
        <v>7384202</v>
      </c>
      <c r="F7" s="2090">
        <v>8168134.71</v>
      </c>
      <c r="G7" s="2088">
        <v>7832325.3600000003</v>
      </c>
      <c r="H7" s="2091">
        <v>7832325.3600000003</v>
      </c>
      <c r="I7" s="2092">
        <v>8286104.8799999999</v>
      </c>
      <c r="J7" s="2088">
        <v>7382111.1699999999</v>
      </c>
      <c r="K7" s="2091">
        <v>7756537.8399999999</v>
      </c>
      <c r="L7" s="247"/>
      <c r="Q7" s="130"/>
      <c r="R7" s="131"/>
    </row>
    <row r="8" spans="1:18" ht="11.25" customHeight="1" x14ac:dyDescent="0.25">
      <c r="A8" s="1402" t="s">
        <v>319</v>
      </c>
      <c r="B8" s="1045"/>
      <c r="C8" s="2088">
        <v>924</v>
      </c>
      <c r="D8" s="2088"/>
      <c r="E8" s="2089"/>
      <c r="F8" s="2090"/>
      <c r="G8" s="2088"/>
      <c r="H8" s="2091"/>
      <c r="I8" s="2092"/>
      <c r="J8" s="2088"/>
      <c r="K8" s="2091"/>
      <c r="L8" s="247"/>
      <c r="Q8" s="130"/>
      <c r="R8" s="131"/>
    </row>
    <row r="9" spans="1:18" ht="11.25" customHeight="1" x14ac:dyDescent="0.25">
      <c r="A9" s="1187" t="s">
        <v>143</v>
      </c>
      <c r="B9" s="1045"/>
      <c r="C9" s="2093">
        <v>65389075.902000003</v>
      </c>
      <c r="D9" s="2093">
        <v>35770545.009999998</v>
      </c>
      <c r="E9" s="2094">
        <v>130039734</v>
      </c>
      <c r="F9" s="2095">
        <v>145947078.93000001</v>
      </c>
      <c r="G9" s="2093">
        <v>146804868.28</v>
      </c>
      <c r="H9" s="2096">
        <v>146804868.28</v>
      </c>
      <c r="I9" s="2097">
        <v>147592640.38</v>
      </c>
      <c r="J9" s="2093">
        <v>159135918.80000001</v>
      </c>
      <c r="K9" s="2096">
        <v>169465693.93000001</v>
      </c>
      <c r="L9" s="247"/>
      <c r="Q9" s="130"/>
      <c r="R9" s="131"/>
    </row>
    <row r="10" spans="1:18" ht="11.25" customHeight="1" x14ac:dyDescent="0.25">
      <c r="A10" s="1187" t="s">
        <v>144</v>
      </c>
      <c r="B10" s="1045"/>
      <c r="C10" s="970">
        <f>SUM(C11:C14)</f>
        <v>33745797.179200001</v>
      </c>
      <c r="D10" s="970">
        <f t="shared" ref="D10:K10" si="2">SUM(D11:D14)</f>
        <v>73347019.839999989</v>
      </c>
      <c r="E10" s="1276">
        <f t="shared" si="2"/>
        <v>1971</v>
      </c>
      <c r="F10" s="971">
        <f t="shared" si="2"/>
        <v>0</v>
      </c>
      <c r="G10" s="970">
        <f t="shared" si="2"/>
        <v>0</v>
      </c>
      <c r="H10" s="1007">
        <f t="shared" si="2"/>
        <v>0</v>
      </c>
      <c r="I10" s="1277">
        <f t="shared" si="2"/>
        <v>0</v>
      </c>
      <c r="J10" s="970">
        <f t="shared" si="2"/>
        <v>0</v>
      </c>
      <c r="K10" s="1007">
        <f t="shared" si="2"/>
        <v>0</v>
      </c>
      <c r="L10" s="247"/>
      <c r="Q10" s="130"/>
      <c r="R10" s="131"/>
    </row>
    <row r="11" spans="1:18" ht="11.25" customHeight="1" x14ac:dyDescent="0.25">
      <c r="A11" s="1402" t="s">
        <v>320</v>
      </c>
      <c r="B11" s="1045"/>
      <c r="C11" s="2088"/>
      <c r="D11" s="2088"/>
      <c r="E11" s="2089"/>
      <c r="F11" s="2090"/>
      <c r="G11" s="2088"/>
      <c r="H11" s="2091"/>
      <c r="I11" s="2092"/>
      <c r="J11" s="2088"/>
      <c r="K11" s="2091"/>
      <c r="L11" s="247"/>
      <c r="Q11" s="130"/>
      <c r="R11" s="131"/>
    </row>
    <row r="12" spans="1:18" ht="11.25" customHeight="1" x14ac:dyDescent="0.25">
      <c r="A12" s="1402" t="s">
        <v>321</v>
      </c>
      <c r="B12" s="1045"/>
      <c r="C12" s="2088"/>
      <c r="D12" s="2088"/>
      <c r="E12" s="2089"/>
      <c r="F12" s="2090"/>
      <c r="G12" s="2088"/>
      <c r="H12" s="2091"/>
      <c r="I12" s="2092"/>
      <c r="J12" s="2088"/>
      <c r="K12" s="2091"/>
      <c r="L12" s="247"/>
      <c r="Q12" s="130"/>
      <c r="R12" s="131"/>
    </row>
    <row r="13" spans="1:18" ht="11.25" customHeight="1" x14ac:dyDescent="0.25">
      <c r="A13" s="1402" t="s">
        <v>1014</v>
      </c>
      <c r="B13" s="1045"/>
      <c r="C13" s="2088"/>
      <c r="D13" s="2088"/>
      <c r="E13" s="2089"/>
      <c r="F13" s="2090"/>
      <c r="G13" s="2088"/>
      <c r="H13" s="2091"/>
      <c r="I13" s="2092"/>
      <c r="J13" s="2088"/>
      <c r="K13" s="2091"/>
      <c r="L13" s="247"/>
      <c r="Q13" s="130"/>
      <c r="R13" s="131"/>
    </row>
    <row r="14" spans="1:18" ht="11.25" customHeight="1" x14ac:dyDescent="0.25">
      <c r="A14" s="1402" t="s">
        <v>1015</v>
      </c>
      <c r="B14" s="1045"/>
      <c r="C14" s="2088">
        <v>33745797.179200001</v>
      </c>
      <c r="D14" s="2088">
        <v>73347019.839999989</v>
      </c>
      <c r="E14" s="2089">
        <v>1971</v>
      </c>
      <c r="F14" s="2090"/>
      <c r="G14" s="2088"/>
      <c r="H14" s="2091"/>
      <c r="I14" s="2092"/>
      <c r="J14" s="2088"/>
      <c r="K14" s="2091"/>
      <c r="L14" s="247"/>
      <c r="Q14" s="130"/>
      <c r="R14" s="131"/>
    </row>
    <row r="15" spans="1:18" ht="11.25" customHeight="1" x14ac:dyDescent="0.25">
      <c r="A15" s="1128" t="s">
        <v>145</v>
      </c>
      <c r="B15" s="1045"/>
      <c r="C15" s="1193">
        <f>C16+C25+C26+C32+C33</f>
        <v>28752474.668999996</v>
      </c>
      <c r="D15" s="1193">
        <f t="shared" ref="D15:K15" si="3">D16+D25+D26+D32+D33</f>
        <v>20724158.07</v>
      </c>
      <c r="E15" s="1359">
        <f t="shared" si="3"/>
        <v>32502</v>
      </c>
      <c r="F15" s="1194">
        <f t="shared" si="3"/>
        <v>35367738.07</v>
      </c>
      <c r="G15" s="1193">
        <f t="shared" si="3"/>
        <v>38404620.07</v>
      </c>
      <c r="H15" s="1360">
        <f t="shared" si="3"/>
        <v>38404620.07</v>
      </c>
      <c r="I15" s="1361">
        <f t="shared" si="3"/>
        <v>2569721.41</v>
      </c>
      <c r="J15" s="1193">
        <f t="shared" si="3"/>
        <v>2723904.6799999997</v>
      </c>
      <c r="K15" s="1360">
        <f t="shared" si="3"/>
        <v>2887338.97</v>
      </c>
      <c r="L15" s="247"/>
      <c r="Q15" s="130"/>
      <c r="R15" s="131"/>
    </row>
    <row r="16" spans="1:18" ht="11.25" customHeight="1" x14ac:dyDescent="0.25">
      <c r="A16" s="1187" t="s">
        <v>146</v>
      </c>
      <c r="B16" s="1045"/>
      <c r="C16" s="998">
        <f>SUM(C17:C24)</f>
        <v>9115.4</v>
      </c>
      <c r="D16" s="998">
        <f t="shared" ref="D16:K16" si="4">SUM(D17:D24)</f>
        <v>4732189.8399999989</v>
      </c>
      <c r="E16" s="1362">
        <f t="shared" si="4"/>
        <v>32502</v>
      </c>
      <c r="F16" s="999">
        <f t="shared" si="4"/>
        <v>628487.1</v>
      </c>
      <c r="G16" s="998">
        <f t="shared" si="4"/>
        <v>628487.1</v>
      </c>
      <c r="H16" s="1363">
        <f t="shared" si="4"/>
        <v>628487.1</v>
      </c>
      <c r="I16" s="1364">
        <f t="shared" si="4"/>
        <v>29681.62</v>
      </c>
      <c r="J16" s="998">
        <f t="shared" si="4"/>
        <v>31462.52</v>
      </c>
      <c r="K16" s="1363">
        <f t="shared" si="4"/>
        <v>33350.269999999997</v>
      </c>
      <c r="L16" s="247"/>
      <c r="Q16" s="130"/>
      <c r="R16" s="131"/>
    </row>
    <row r="17" spans="1:18" ht="11.25" customHeight="1" x14ac:dyDescent="0.25">
      <c r="A17" s="1402" t="s">
        <v>1577</v>
      </c>
      <c r="B17" s="1045"/>
      <c r="C17" s="2088">
        <v>47.88</v>
      </c>
      <c r="D17" s="2088">
        <v>47.88</v>
      </c>
      <c r="E17" s="2089">
        <v>1885</v>
      </c>
      <c r="F17" s="2090">
        <v>2466.13</v>
      </c>
      <c r="G17" s="2088">
        <v>2466.13</v>
      </c>
      <c r="H17" s="2091">
        <v>2466.13</v>
      </c>
      <c r="I17" s="2092">
        <v>2614.1</v>
      </c>
      <c r="J17" s="2088">
        <v>2770.94</v>
      </c>
      <c r="K17" s="2091">
        <v>2937.2</v>
      </c>
      <c r="L17" s="247"/>
      <c r="Q17" s="130"/>
      <c r="R17" s="131"/>
    </row>
    <row r="18" spans="1:18" ht="11.25" customHeight="1" x14ac:dyDescent="0.25">
      <c r="A18" s="1402" t="s">
        <v>768</v>
      </c>
      <c r="B18" s="1045"/>
      <c r="C18" s="2088"/>
      <c r="D18" s="2088"/>
      <c r="E18" s="2089"/>
      <c r="F18" s="2090"/>
      <c r="G18" s="2088"/>
      <c r="H18" s="2091"/>
      <c r="I18" s="2092"/>
      <c r="J18" s="2088"/>
      <c r="K18" s="2091"/>
      <c r="L18" s="247"/>
      <c r="Q18" s="130"/>
      <c r="R18" s="131"/>
    </row>
    <row r="19" spans="1:18" ht="11.25" customHeight="1" x14ac:dyDescent="0.25">
      <c r="A19" s="1402" t="s">
        <v>769</v>
      </c>
      <c r="B19" s="1045"/>
      <c r="C19" s="2088"/>
      <c r="D19" s="2088"/>
      <c r="E19" s="2089"/>
      <c r="F19" s="2090"/>
      <c r="G19" s="2088"/>
      <c r="H19" s="2091"/>
      <c r="I19" s="2092"/>
      <c r="J19" s="2088"/>
      <c r="K19" s="2091"/>
      <c r="L19" s="247"/>
      <c r="Q19" s="130"/>
      <c r="R19" s="131"/>
    </row>
    <row r="20" spans="1:18" ht="11.25" customHeight="1" x14ac:dyDescent="0.25">
      <c r="A20" s="1402" t="s">
        <v>770</v>
      </c>
      <c r="B20" s="1045"/>
      <c r="C20" s="2088">
        <v>9067.52</v>
      </c>
      <c r="D20" s="2088">
        <v>4732141.959999999</v>
      </c>
      <c r="E20" s="2089">
        <v>30617</v>
      </c>
      <c r="F20" s="2090"/>
      <c r="G20" s="2088"/>
      <c r="H20" s="2091"/>
      <c r="I20" s="2092">
        <v>27067.52</v>
      </c>
      <c r="J20" s="2088">
        <v>28691.58</v>
      </c>
      <c r="K20" s="2091">
        <v>30413.07</v>
      </c>
      <c r="L20" s="247"/>
      <c r="Q20" s="130"/>
      <c r="R20" s="131"/>
    </row>
    <row r="21" spans="1:18" ht="11.25" customHeight="1" x14ac:dyDescent="0.25">
      <c r="A21" s="1402" t="s">
        <v>1578</v>
      </c>
      <c r="B21" s="1045"/>
      <c r="C21" s="2088"/>
      <c r="D21" s="2088"/>
      <c r="E21" s="2089"/>
      <c r="F21" s="2090"/>
      <c r="G21" s="2088"/>
      <c r="H21" s="2091"/>
      <c r="I21" s="2092"/>
      <c r="J21" s="2088"/>
      <c r="K21" s="2091"/>
      <c r="L21" s="247"/>
      <c r="Q21" s="130"/>
      <c r="R21" s="131"/>
    </row>
    <row r="22" spans="1:18" ht="11.25" customHeight="1" x14ac:dyDescent="0.25">
      <c r="A22" s="1402" t="s">
        <v>1579</v>
      </c>
      <c r="B22" s="1045"/>
      <c r="C22" s="2088"/>
      <c r="D22" s="2088"/>
      <c r="E22" s="2089"/>
      <c r="F22" s="2090"/>
      <c r="G22" s="2088"/>
      <c r="H22" s="2091"/>
      <c r="I22" s="2092"/>
      <c r="J22" s="2088"/>
      <c r="K22" s="2091"/>
      <c r="L22" s="247"/>
      <c r="Q22" s="130"/>
      <c r="R22" s="131"/>
    </row>
    <row r="23" spans="1:18" ht="11.25" customHeight="1" x14ac:dyDescent="0.25">
      <c r="A23" s="1402" t="s">
        <v>1580</v>
      </c>
      <c r="B23" s="1045"/>
      <c r="C23" s="2088"/>
      <c r="D23" s="2088"/>
      <c r="E23" s="2089"/>
      <c r="F23" s="2090">
        <v>626020.97</v>
      </c>
      <c r="G23" s="2088">
        <v>626020.97</v>
      </c>
      <c r="H23" s="2091">
        <v>626020.97</v>
      </c>
      <c r="I23" s="2092"/>
      <c r="J23" s="2088"/>
      <c r="K23" s="2091"/>
      <c r="L23" s="247"/>
      <c r="Q23" s="130"/>
      <c r="R23" s="131"/>
    </row>
    <row r="24" spans="1:18" ht="11.25" customHeight="1" x14ac:dyDescent="0.25">
      <c r="A24" s="1402" t="s">
        <v>1581</v>
      </c>
      <c r="B24" s="1045"/>
      <c r="C24" s="2088"/>
      <c r="D24" s="2088"/>
      <c r="E24" s="2089"/>
      <c r="F24" s="2090"/>
      <c r="G24" s="2088"/>
      <c r="H24" s="2091"/>
      <c r="I24" s="2092"/>
      <c r="J24" s="2088"/>
      <c r="K24" s="2091"/>
      <c r="L24" s="247"/>
      <c r="Q24" s="130"/>
      <c r="R24" s="131"/>
    </row>
    <row r="25" spans="1:18" ht="11.25" customHeight="1" x14ac:dyDescent="0.25">
      <c r="A25" s="1187" t="s">
        <v>147</v>
      </c>
      <c r="B25" s="1045"/>
      <c r="C25" s="2088"/>
      <c r="D25" s="2088"/>
      <c r="E25" s="2089"/>
      <c r="F25" s="2090"/>
      <c r="G25" s="2088"/>
      <c r="H25" s="2091"/>
      <c r="I25" s="2092"/>
      <c r="J25" s="2088"/>
      <c r="K25" s="2091"/>
      <c r="L25" s="247"/>
      <c r="Q25" s="130"/>
      <c r="R25" s="131"/>
    </row>
    <row r="26" spans="1:18" ht="11.25" customHeight="1" x14ac:dyDescent="0.25">
      <c r="A26" s="1187" t="s">
        <v>148</v>
      </c>
      <c r="B26" s="1045"/>
      <c r="C26" s="998">
        <f>SUM(C27:C31)</f>
        <v>28263801.949999999</v>
      </c>
      <c r="D26" s="998">
        <f t="shared" ref="D26:K26" si="5">SUM(D27:D31)</f>
        <v>15991968.23</v>
      </c>
      <c r="E26" s="1362">
        <f t="shared" si="5"/>
        <v>0</v>
      </c>
      <c r="F26" s="999">
        <f t="shared" si="5"/>
        <v>34489341.549999997</v>
      </c>
      <c r="G26" s="998">
        <f t="shared" si="5"/>
        <v>37526223.549999997</v>
      </c>
      <c r="H26" s="1363">
        <f t="shared" si="5"/>
        <v>37526223.549999997</v>
      </c>
      <c r="I26" s="1364">
        <f t="shared" si="5"/>
        <v>2275135.7999999998</v>
      </c>
      <c r="J26" s="998">
        <f t="shared" si="5"/>
        <v>2411643.94</v>
      </c>
      <c r="K26" s="1363">
        <f t="shared" si="5"/>
        <v>2556342.58</v>
      </c>
      <c r="L26" s="247"/>
      <c r="Q26" s="130"/>
      <c r="R26" s="131"/>
    </row>
    <row r="27" spans="1:18" ht="11.25" customHeight="1" x14ac:dyDescent="0.25">
      <c r="A27" s="1402" t="s">
        <v>1582</v>
      </c>
      <c r="B27" s="1045"/>
      <c r="C27" s="2088"/>
      <c r="D27" s="2088"/>
      <c r="E27" s="2089"/>
      <c r="F27" s="2090"/>
      <c r="G27" s="2088"/>
      <c r="H27" s="2091"/>
      <c r="I27" s="2092"/>
      <c r="J27" s="2088"/>
      <c r="K27" s="2091"/>
      <c r="L27" s="247"/>
      <c r="Q27" s="130"/>
      <c r="R27" s="131"/>
    </row>
    <row r="28" spans="1:18" ht="11.25" customHeight="1" x14ac:dyDescent="0.25">
      <c r="A28" s="1402" t="s">
        <v>1457</v>
      </c>
      <c r="B28" s="1045"/>
      <c r="C28" s="2088"/>
      <c r="D28" s="2088"/>
      <c r="E28" s="2089"/>
      <c r="F28" s="2090"/>
      <c r="G28" s="2088"/>
      <c r="H28" s="2091"/>
      <c r="I28" s="2092"/>
      <c r="J28" s="2088"/>
      <c r="K28" s="2091"/>
      <c r="L28" s="247"/>
      <c r="Q28" s="130"/>
      <c r="R28" s="131"/>
    </row>
    <row r="29" spans="1:18" ht="11.25" customHeight="1" x14ac:dyDescent="0.25">
      <c r="A29" s="1402" t="s">
        <v>749</v>
      </c>
      <c r="B29" s="1045"/>
      <c r="C29" s="2088"/>
      <c r="D29" s="2088"/>
      <c r="E29" s="2089"/>
      <c r="F29" s="2090"/>
      <c r="G29" s="2088"/>
      <c r="H29" s="2091"/>
      <c r="I29" s="2092"/>
      <c r="J29" s="2088"/>
      <c r="K29" s="2091"/>
      <c r="L29" s="247"/>
      <c r="Q29" s="130"/>
      <c r="R29" s="131"/>
    </row>
    <row r="30" spans="1:18" ht="11.25" customHeight="1" x14ac:dyDescent="0.25">
      <c r="A30" s="1402" t="s">
        <v>137</v>
      </c>
      <c r="B30" s="1045"/>
      <c r="C30" s="2088"/>
      <c r="D30" s="2088"/>
      <c r="E30" s="2089"/>
      <c r="F30" s="2090"/>
      <c r="G30" s="2088"/>
      <c r="H30" s="2091"/>
      <c r="I30" s="2092"/>
      <c r="J30" s="2088"/>
      <c r="K30" s="2091"/>
      <c r="L30" s="247"/>
      <c r="Q30" s="130"/>
      <c r="R30" s="131"/>
    </row>
    <row r="31" spans="1:18" ht="11.25" customHeight="1" x14ac:dyDescent="0.25">
      <c r="A31" s="1402" t="s">
        <v>276</v>
      </c>
      <c r="B31" s="1045"/>
      <c r="C31" s="2088">
        <v>28263801.949999999</v>
      </c>
      <c r="D31" s="2088">
        <v>15991968.23</v>
      </c>
      <c r="E31" s="2089"/>
      <c r="F31" s="2090">
        <v>34489341.549999997</v>
      </c>
      <c r="G31" s="2088">
        <v>37526223.549999997</v>
      </c>
      <c r="H31" s="2091">
        <v>37526223.549999997</v>
      </c>
      <c r="I31" s="2092">
        <v>2275135.7999999998</v>
      </c>
      <c r="J31" s="2088">
        <v>2411643.94</v>
      </c>
      <c r="K31" s="2091">
        <v>2556342.58</v>
      </c>
      <c r="L31" s="247"/>
      <c r="Q31" s="130"/>
      <c r="R31" s="131"/>
    </row>
    <row r="32" spans="1:18" ht="11.25" customHeight="1" x14ac:dyDescent="0.25">
      <c r="A32" s="1187" t="s">
        <v>1626</v>
      </c>
      <c r="B32" s="1045"/>
      <c r="C32" s="2098">
        <v>479557.31900000002</v>
      </c>
      <c r="D32" s="2098">
        <v>0</v>
      </c>
      <c r="E32" s="2099"/>
      <c r="F32" s="2100">
        <v>249909.42</v>
      </c>
      <c r="G32" s="2098">
        <v>249909.42</v>
      </c>
      <c r="H32" s="2101">
        <v>249909.42</v>
      </c>
      <c r="I32" s="2102">
        <v>264903.99</v>
      </c>
      <c r="J32" s="2098">
        <v>280798.21999999997</v>
      </c>
      <c r="K32" s="2101">
        <v>297646.12</v>
      </c>
      <c r="L32" s="247"/>
      <c r="Q32" s="130"/>
      <c r="R32" s="131"/>
    </row>
    <row r="33" spans="1:18" ht="11.25" customHeight="1" x14ac:dyDescent="0.25">
      <c r="A33" s="1187" t="s">
        <v>1699</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1232</v>
      </c>
      <c r="B34" s="1045"/>
      <c r="C34" s="2088"/>
      <c r="D34" s="2088"/>
      <c r="E34" s="2089"/>
      <c r="F34" s="2090"/>
      <c r="G34" s="2088"/>
      <c r="H34" s="2091"/>
      <c r="I34" s="2092"/>
      <c r="J34" s="2088"/>
      <c r="K34" s="2091"/>
      <c r="L34" s="247"/>
      <c r="Q34" s="130"/>
      <c r="R34" s="131"/>
    </row>
    <row r="35" spans="1:18" ht="11.25" customHeight="1" x14ac:dyDescent="0.25">
      <c r="A35" s="1402" t="s">
        <v>589</v>
      </c>
      <c r="B35" s="1045"/>
      <c r="C35" s="2088"/>
      <c r="D35" s="2088"/>
      <c r="E35" s="2089"/>
      <c r="F35" s="2090"/>
      <c r="G35" s="2088"/>
      <c r="H35" s="2091"/>
      <c r="I35" s="2092"/>
      <c r="J35" s="2088"/>
      <c r="K35" s="2091"/>
      <c r="L35" s="247"/>
      <c r="Q35" s="130"/>
      <c r="R35" s="131"/>
    </row>
    <row r="36" spans="1:18" ht="11.25" customHeight="1" x14ac:dyDescent="0.25">
      <c r="A36" s="1402" t="s">
        <v>590</v>
      </c>
      <c r="B36" s="1045"/>
      <c r="C36" s="2088"/>
      <c r="D36" s="2088"/>
      <c r="E36" s="2089"/>
      <c r="F36" s="2090"/>
      <c r="G36" s="2088"/>
      <c r="H36" s="2091"/>
      <c r="I36" s="2092"/>
      <c r="J36" s="2088"/>
      <c r="K36" s="2091"/>
      <c r="L36" s="247"/>
      <c r="Q36" s="130"/>
      <c r="R36" s="131"/>
    </row>
    <row r="37" spans="1:18" ht="11.25" customHeight="1" x14ac:dyDescent="0.25">
      <c r="A37" s="1128" t="s">
        <v>149</v>
      </c>
      <c r="B37" s="989"/>
      <c r="C37" s="1193">
        <f>C38+C42+C48</f>
        <v>6966560.0899999999</v>
      </c>
      <c r="D37" s="1193">
        <f t="shared" ref="D37:K37" si="7">D38+D42+D48</f>
        <v>4847744.2</v>
      </c>
      <c r="E37" s="1359">
        <f t="shared" si="7"/>
        <v>37594612</v>
      </c>
      <c r="F37" s="1194">
        <f t="shared" si="7"/>
        <v>13467441.859999999</v>
      </c>
      <c r="G37" s="1193">
        <f t="shared" si="7"/>
        <v>11876090.77</v>
      </c>
      <c r="H37" s="1360">
        <f t="shared" si="7"/>
        <v>11876090.77</v>
      </c>
      <c r="I37" s="1361">
        <f t="shared" si="7"/>
        <v>44598217.079999998</v>
      </c>
      <c r="J37" s="1193">
        <f t="shared" si="7"/>
        <v>47614090.109999999</v>
      </c>
      <c r="K37" s="1360">
        <f t="shared" si="7"/>
        <v>50392915.509999998</v>
      </c>
      <c r="L37" s="247"/>
      <c r="Q37" s="130"/>
      <c r="R37" s="131"/>
    </row>
    <row r="38" spans="1:18" ht="11.25" customHeight="1" x14ac:dyDescent="0.25">
      <c r="A38" s="1187" t="s">
        <v>150</v>
      </c>
      <c r="B38" s="989"/>
      <c r="C38" s="998">
        <f>SUM(C39:C41)</f>
        <v>0</v>
      </c>
      <c r="D38" s="998">
        <f>SUM(D39:D41)</f>
        <v>0</v>
      </c>
      <c r="E38" s="1362">
        <f t="shared" ref="E38:K38" si="8">SUM(E39:E41)</f>
        <v>330393</v>
      </c>
      <c r="F38" s="999">
        <f t="shared" si="8"/>
        <v>930000</v>
      </c>
      <c r="G38" s="998">
        <f t="shared" si="8"/>
        <v>930000</v>
      </c>
      <c r="H38" s="1363">
        <f t="shared" si="8"/>
        <v>930000</v>
      </c>
      <c r="I38" s="1364">
        <f t="shared" si="8"/>
        <v>750000</v>
      </c>
      <c r="J38" s="998">
        <f t="shared" si="8"/>
        <v>788000</v>
      </c>
      <c r="K38" s="1363">
        <f t="shared" si="8"/>
        <v>0</v>
      </c>
      <c r="L38" s="247"/>
      <c r="Q38" s="130"/>
      <c r="R38" s="131"/>
    </row>
    <row r="39" spans="1:18" ht="11.25" customHeight="1" x14ac:dyDescent="0.25">
      <c r="A39" s="1402" t="s">
        <v>544</v>
      </c>
      <c r="B39" s="989"/>
      <c r="C39" s="2088"/>
      <c r="D39" s="2088"/>
      <c r="E39" s="2089">
        <v>183406</v>
      </c>
      <c r="F39" s="2090">
        <v>930000</v>
      </c>
      <c r="G39" s="2088">
        <v>930000</v>
      </c>
      <c r="H39" s="2091">
        <v>930000</v>
      </c>
      <c r="I39" s="2092">
        <v>750000</v>
      </c>
      <c r="J39" s="2088">
        <v>788000</v>
      </c>
      <c r="K39" s="2091"/>
      <c r="L39" s="247"/>
      <c r="Q39" s="130"/>
      <c r="R39" s="131"/>
    </row>
    <row r="40" spans="1:18" ht="11.25" customHeight="1" x14ac:dyDescent="0.25">
      <c r="A40" s="1402" t="s">
        <v>587</v>
      </c>
      <c r="B40" s="989"/>
      <c r="C40" s="2088"/>
      <c r="D40" s="2088"/>
      <c r="E40" s="2089">
        <v>146987</v>
      </c>
      <c r="F40" s="2090"/>
      <c r="G40" s="2088"/>
      <c r="H40" s="2091"/>
      <c r="I40" s="2092"/>
      <c r="J40" s="2088"/>
      <c r="K40" s="2091"/>
      <c r="L40" s="247"/>
      <c r="Q40" s="130"/>
      <c r="R40" s="131"/>
    </row>
    <row r="41" spans="1:18" ht="11.25" customHeight="1" x14ac:dyDescent="0.25">
      <c r="A41" s="1402" t="s">
        <v>97</v>
      </c>
      <c r="B41" s="989"/>
      <c r="C41" s="2088"/>
      <c r="D41" s="2088"/>
      <c r="E41" s="2089"/>
      <c r="F41" s="2090"/>
      <c r="G41" s="2088"/>
      <c r="H41" s="2091"/>
      <c r="I41" s="2092"/>
      <c r="J41" s="2088"/>
      <c r="K41" s="2091"/>
      <c r="L41" s="247"/>
      <c r="Q41" s="130"/>
      <c r="R41" s="131"/>
    </row>
    <row r="42" spans="1:18" ht="11.25" customHeight="1" x14ac:dyDescent="0.25">
      <c r="A42" s="1187" t="s">
        <v>151</v>
      </c>
      <c r="B42" s="989"/>
      <c r="C42" s="998">
        <f>SUM(C43:C47)</f>
        <v>6966560.0899999999</v>
      </c>
      <c r="D42" s="998">
        <f t="shared" ref="D42:K42" si="9">SUM(D43:D47)</f>
        <v>4847744.2</v>
      </c>
      <c r="E42" s="1362">
        <f t="shared" si="9"/>
        <v>37264219</v>
      </c>
      <c r="F42" s="999">
        <f t="shared" si="9"/>
        <v>12537441.859999999</v>
      </c>
      <c r="G42" s="998">
        <f t="shared" si="9"/>
        <v>10946090.77</v>
      </c>
      <c r="H42" s="1363">
        <f t="shared" si="9"/>
        <v>10946090.77</v>
      </c>
      <c r="I42" s="1364">
        <f t="shared" si="9"/>
        <v>43848217.079999998</v>
      </c>
      <c r="J42" s="998">
        <f t="shared" si="9"/>
        <v>46826090.109999999</v>
      </c>
      <c r="K42" s="1363">
        <f t="shared" si="9"/>
        <v>50392915.509999998</v>
      </c>
      <c r="L42" s="247"/>
      <c r="Q42" s="130"/>
      <c r="R42" s="131"/>
    </row>
    <row r="43" spans="1:18" ht="11.25" customHeight="1" x14ac:dyDescent="0.25">
      <c r="A43" s="1402" t="s">
        <v>693</v>
      </c>
      <c r="B43" s="989"/>
      <c r="C43" s="2088"/>
      <c r="D43" s="2088"/>
      <c r="E43" s="2089">
        <v>31583815</v>
      </c>
      <c r="F43" s="2090"/>
      <c r="G43" s="2088"/>
      <c r="H43" s="2091"/>
      <c r="I43" s="2092">
        <v>31917000</v>
      </c>
      <c r="J43" s="2088">
        <v>34179000</v>
      </c>
      <c r="K43" s="2091">
        <v>36987000</v>
      </c>
      <c r="L43" s="247"/>
      <c r="Q43" s="130"/>
      <c r="R43" s="131"/>
    </row>
    <row r="44" spans="1:18" ht="11.25" customHeight="1" x14ac:dyDescent="0.25">
      <c r="A44" s="1402" t="s">
        <v>694</v>
      </c>
      <c r="B44" s="989"/>
      <c r="C44" s="2088"/>
      <c r="D44" s="2088"/>
      <c r="E44" s="2089"/>
      <c r="F44" s="2090"/>
      <c r="G44" s="2088"/>
      <c r="H44" s="2091"/>
      <c r="I44" s="2092"/>
      <c r="J44" s="2088"/>
      <c r="K44" s="2091"/>
      <c r="L44" s="247"/>
      <c r="Q44" s="130"/>
      <c r="R44" s="131"/>
    </row>
    <row r="45" spans="1:18" ht="11.25" customHeight="1" x14ac:dyDescent="0.25">
      <c r="A45" s="1402" t="s">
        <v>695</v>
      </c>
      <c r="B45" s="989"/>
      <c r="C45" s="2088"/>
      <c r="D45" s="2088"/>
      <c r="E45" s="2089"/>
      <c r="F45" s="2090"/>
      <c r="G45" s="2088"/>
      <c r="H45" s="2091"/>
      <c r="I45" s="2092"/>
      <c r="J45" s="2088"/>
      <c r="K45" s="2091"/>
      <c r="L45" s="247"/>
      <c r="Q45" s="130"/>
      <c r="R45" s="131"/>
    </row>
    <row r="46" spans="1:18" ht="11.25" customHeight="1" x14ac:dyDescent="0.25">
      <c r="A46" s="1402" t="s">
        <v>771</v>
      </c>
      <c r="B46" s="989"/>
      <c r="C46" s="2088">
        <v>6966560.0899999999</v>
      </c>
      <c r="D46" s="2088">
        <v>4847744.2</v>
      </c>
      <c r="E46" s="2089">
        <v>5680404</v>
      </c>
      <c r="F46" s="2090">
        <v>12537441.859999999</v>
      </c>
      <c r="G46" s="2088">
        <v>10946090.77</v>
      </c>
      <c r="H46" s="2088">
        <v>10946090.77</v>
      </c>
      <c r="I46" s="2092">
        <v>11931217.08</v>
      </c>
      <c r="J46" s="2088">
        <v>12647090.109999999</v>
      </c>
      <c r="K46" s="2091">
        <v>13405915.51</v>
      </c>
      <c r="L46" s="247"/>
      <c r="Q46" s="130"/>
      <c r="R46" s="131"/>
    </row>
    <row r="47" spans="1:18" ht="11.25" customHeight="1" x14ac:dyDescent="0.25">
      <c r="A47" s="1402" t="s">
        <v>276</v>
      </c>
      <c r="B47" s="989"/>
      <c r="C47" s="2088"/>
      <c r="D47" s="2088"/>
      <c r="E47" s="2089"/>
      <c r="F47" s="2090"/>
      <c r="G47" s="2088"/>
      <c r="H47" s="2091"/>
      <c r="I47" s="2092"/>
      <c r="J47" s="2088"/>
      <c r="K47" s="2091"/>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687</v>
      </c>
      <c r="B49" s="989"/>
      <c r="C49" s="2088"/>
      <c r="D49" s="2088"/>
      <c r="E49" s="2089"/>
      <c r="F49" s="2090"/>
      <c r="G49" s="2088"/>
      <c r="H49" s="2091"/>
      <c r="I49" s="2092"/>
      <c r="J49" s="2088"/>
      <c r="K49" s="2091"/>
      <c r="L49" s="247"/>
      <c r="Q49" s="130"/>
      <c r="R49" s="131"/>
    </row>
    <row r="50" spans="1:18" ht="11.25" customHeight="1" x14ac:dyDescent="0.25">
      <c r="A50" s="1402" t="s">
        <v>688</v>
      </c>
      <c r="B50" s="989"/>
      <c r="C50" s="2088"/>
      <c r="D50" s="2088"/>
      <c r="E50" s="2089"/>
      <c r="F50" s="2090"/>
      <c r="G50" s="2088"/>
      <c r="H50" s="2091"/>
      <c r="I50" s="2092"/>
      <c r="J50" s="2088"/>
      <c r="K50" s="2091"/>
      <c r="L50" s="247"/>
      <c r="Q50" s="130"/>
      <c r="R50" s="131"/>
    </row>
    <row r="51" spans="1:18" ht="11.25" customHeight="1" x14ac:dyDescent="0.25">
      <c r="A51" s="1402" t="s">
        <v>276</v>
      </c>
      <c r="B51" s="989"/>
      <c r="C51" s="2088"/>
      <c r="D51" s="2088"/>
      <c r="E51" s="2089"/>
      <c r="F51" s="2090"/>
      <c r="G51" s="2088"/>
      <c r="H51" s="2091"/>
      <c r="I51" s="2092"/>
      <c r="J51" s="2088"/>
      <c r="K51" s="2091"/>
      <c r="L51" s="247"/>
      <c r="Q51" s="130"/>
      <c r="R51" s="131"/>
    </row>
    <row r="52" spans="1:18" ht="11.25" customHeight="1" x14ac:dyDescent="0.25">
      <c r="A52" s="1128" t="s">
        <v>153</v>
      </c>
      <c r="B52" s="989"/>
      <c r="C52" s="1193">
        <f>C53+C56+C59+C63</f>
        <v>37231456.830000006</v>
      </c>
      <c r="D52" s="1193">
        <f t="shared" ref="D52:J52" si="11">D53+D56+D59+D63</f>
        <v>44095374.93</v>
      </c>
      <c r="E52" s="1359">
        <f t="shared" si="11"/>
        <v>43677192</v>
      </c>
      <c r="F52" s="1194">
        <f t="shared" si="11"/>
        <v>54223957.120000005</v>
      </c>
      <c r="G52" s="1193">
        <f t="shared" si="11"/>
        <v>54223957.120000005</v>
      </c>
      <c r="H52" s="1360">
        <f t="shared" si="11"/>
        <v>54223957.120000005</v>
      </c>
      <c r="I52" s="1361">
        <f t="shared" si="11"/>
        <v>58722181.68</v>
      </c>
      <c r="J52" s="1193">
        <f t="shared" si="11"/>
        <v>62245512.579999998</v>
      </c>
      <c r="K52" s="1360">
        <f>K53+K56+K59+K63</f>
        <v>65980243.329999998</v>
      </c>
      <c r="L52" s="247"/>
      <c r="Q52" s="130"/>
      <c r="R52" s="131"/>
    </row>
    <row r="53" spans="1:18" ht="11.25" customHeight="1" x14ac:dyDescent="0.25">
      <c r="A53" s="1187" t="s">
        <v>612</v>
      </c>
      <c r="B53" s="989"/>
      <c r="C53" s="998">
        <f>SUM(C54:C55)</f>
        <v>32952161.720000003</v>
      </c>
      <c r="D53" s="998">
        <f t="shared" ref="D53:K53" si="12">SUM(D54:D55)</f>
        <v>40676506.450000003</v>
      </c>
      <c r="E53" s="1362">
        <f t="shared" si="12"/>
        <v>39268658</v>
      </c>
      <c r="F53" s="999">
        <f t="shared" si="12"/>
        <v>50356628.200000003</v>
      </c>
      <c r="G53" s="998">
        <f t="shared" si="12"/>
        <v>50356628.200000003</v>
      </c>
      <c r="H53" s="1363">
        <f t="shared" si="12"/>
        <v>50356628.200000003</v>
      </c>
      <c r="I53" s="1364">
        <f t="shared" si="12"/>
        <v>54314659.18</v>
      </c>
      <c r="J53" s="998">
        <f t="shared" si="12"/>
        <v>57573538.729999997</v>
      </c>
      <c r="K53" s="1363">
        <f t="shared" si="12"/>
        <v>61027951.049999997</v>
      </c>
      <c r="L53" s="247"/>
      <c r="Q53" s="130"/>
      <c r="R53" s="131"/>
    </row>
    <row r="54" spans="1:18" ht="11.25" customHeight="1" x14ac:dyDescent="0.25">
      <c r="A54" s="1402" t="s">
        <v>698</v>
      </c>
      <c r="B54" s="989"/>
      <c r="C54" s="2088">
        <v>32952161.720000003</v>
      </c>
      <c r="D54" s="2088">
        <v>40676506.450000003</v>
      </c>
      <c r="E54" s="2089">
        <v>39268658</v>
      </c>
      <c r="F54" s="2090">
        <v>50356628.200000003</v>
      </c>
      <c r="G54" s="2088">
        <v>50356628.200000003</v>
      </c>
      <c r="H54" s="2091">
        <v>50356628.200000003</v>
      </c>
      <c r="I54" s="2092">
        <v>54314659.18</v>
      </c>
      <c r="J54" s="2088">
        <v>57573538.729999997</v>
      </c>
      <c r="K54" s="2091">
        <v>61027951.049999997</v>
      </c>
      <c r="L54" s="247"/>
      <c r="Q54" s="130"/>
      <c r="R54" s="131"/>
    </row>
    <row r="55" spans="1:18" ht="11.25" customHeight="1" x14ac:dyDescent="0.25">
      <c r="A55" s="1402" t="s">
        <v>94</v>
      </c>
      <c r="B55" s="989"/>
      <c r="C55" s="2088"/>
      <c r="D55" s="2088"/>
      <c r="E55" s="2089"/>
      <c r="F55" s="2090"/>
      <c r="G55" s="2088"/>
      <c r="H55" s="2091"/>
      <c r="I55" s="2092"/>
      <c r="J55" s="2088"/>
      <c r="K55" s="2091"/>
      <c r="L55" s="247"/>
      <c r="Q55" s="130"/>
      <c r="R55" s="131"/>
    </row>
    <row r="56" spans="1:18" ht="11.25" customHeight="1" x14ac:dyDescent="0.25">
      <c r="A56" s="1187" t="s">
        <v>908</v>
      </c>
      <c r="B56" s="989"/>
      <c r="C56" s="998">
        <f>SUM(C57:C58)</f>
        <v>1338775.43</v>
      </c>
      <c r="D56" s="998">
        <f t="shared" ref="D56:K56" si="13">SUM(D57:D58)</f>
        <v>0</v>
      </c>
      <c r="E56" s="1362">
        <f t="shared" si="13"/>
        <v>0</v>
      </c>
      <c r="F56" s="999">
        <f t="shared" si="13"/>
        <v>0</v>
      </c>
      <c r="G56" s="998">
        <f t="shared" si="13"/>
        <v>0</v>
      </c>
      <c r="H56" s="1363">
        <f t="shared" si="13"/>
        <v>0</v>
      </c>
      <c r="I56" s="1364">
        <f t="shared" si="13"/>
        <v>0</v>
      </c>
      <c r="J56" s="998">
        <f t="shared" si="13"/>
        <v>0</v>
      </c>
      <c r="K56" s="1363">
        <f t="shared" si="13"/>
        <v>0</v>
      </c>
      <c r="L56" s="247"/>
      <c r="Q56" s="130"/>
      <c r="R56" s="131"/>
    </row>
    <row r="57" spans="1:18" ht="11.25" customHeight="1" x14ac:dyDescent="0.25">
      <c r="A57" s="1402" t="s">
        <v>696</v>
      </c>
      <c r="B57" s="989"/>
      <c r="C57" s="2088">
        <v>1338775.43</v>
      </c>
      <c r="D57" s="2088">
        <v>0</v>
      </c>
      <c r="E57" s="2089"/>
      <c r="F57" s="2090"/>
      <c r="G57" s="2088"/>
      <c r="H57" s="2091"/>
      <c r="I57" s="2092"/>
      <c r="J57" s="2088"/>
      <c r="K57" s="2091"/>
      <c r="L57" s="247"/>
      <c r="Q57" s="130"/>
      <c r="R57" s="131"/>
    </row>
    <row r="58" spans="1:18" ht="11.25" customHeight="1" x14ac:dyDescent="0.25">
      <c r="A58" s="1402" t="s">
        <v>697</v>
      </c>
      <c r="B58" s="989"/>
      <c r="C58" s="2088"/>
      <c r="D58" s="2088"/>
      <c r="E58" s="2089"/>
      <c r="F58" s="2090"/>
      <c r="G58" s="2088"/>
      <c r="H58" s="2091"/>
      <c r="I58" s="2092"/>
      <c r="J58" s="2088"/>
      <c r="K58" s="2091"/>
      <c r="L58" s="247"/>
      <c r="Q58" s="130"/>
      <c r="R58" s="131"/>
    </row>
    <row r="59" spans="1:18" ht="11.25" customHeight="1" x14ac:dyDescent="0.25">
      <c r="A59" s="1187" t="s">
        <v>1083</v>
      </c>
      <c r="B59" s="989"/>
      <c r="C59" s="998">
        <f>SUM(C60:C62)</f>
        <v>0</v>
      </c>
      <c r="D59" s="998">
        <f t="shared" ref="D59:K59" si="14">SUM(D60:D62)</f>
        <v>0</v>
      </c>
      <c r="E59" s="1362">
        <f t="shared" si="14"/>
        <v>0</v>
      </c>
      <c r="F59" s="999">
        <f t="shared" si="14"/>
        <v>0</v>
      </c>
      <c r="G59" s="998">
        <f t="shared" si="14"/>
        <v>0</v>
      </c>
      <c r="H59" s="1363">
        <f t="shared" si="14"/>
        <v>0</v>
      </c>
      <c r="I59" s="1364">
        <f t="shared" si="14"/>
        <v>0</v>
      </c>
      <c r="J59" s="998">
        <f t="shared" si="14"/>
        <v>0</v>
      </c>
      <c r="K59" s="1363">
        <f t="shared" si="14"/>
        <v>0</v>
      </c>
      <c r="L59" s="247"/>
      <c r="Q59" s="130"/>
      <c r="R59" s="131"/>
    </row>
    <row r="60" spans="1:18" ht="11.25" customHeight="1" x14ac:dyDescent="0.25">
      <c r="A60" s="1402" t="s">
        <v>690</v>
      </c>
      <c r="B60" s="989"/>
      <c r="C60" s="2088"/>
      <c r="D60" s="2088"/>
      <c r="E60" s="2089"/>
      <c r="F60" s="2090"/>
      <c r="G60" s="2088"/>
      <c r="H60" s="2091"/>
      <c r="I60" s="2092"/>
      <c r="J60" s="2088"/>
      <c r="K60" s="2091"/>
      <c r="L60" s="247"/>
      <c r="Q60" s="130"/>
      <c r="R60" s="131"/>
    </row>
    <row r="61" spans="1:18" ht="11.25" customHeight="1" x14ac:dyDescent="0.25">
      <c r="A61" s="1402" t="s">
        <v>691</v>
      </c>
      <c r="B61" s="989"/>
      <c r="C61" s="2088"/>
      <c r="D61" s="2088"/>
      <c r="E61" s="2089"/>
      <c r="F61" s="2090"/>
      <c r="G61" s="2088"/>
      <c r="H61" s="2091"/>
      <c r="I61" s="2092"/>
      <c r="J61" s="2088"/>
      <c r="K61" s="2091"/>
      <c r="L61" s="247"/>
      <c r="Q61" s="130"/>
      <c r="R61" s="131"/>
    </row>
    <row r="62" spans="1:18" ht="11.25" customHeight="1" x14ac:dyDescent="0.25">
      <c r="A62" s="1402" t="s">
        <v>692</v>
      </c>
      <c r="B62" s="989"/>
      <c r="C62" s="2088"/>
      <c r="D62" s="2088"/>
      <c r="E62" s="2089"/>
      <c r="F62" s="2090"/>
      <c r="G62" s="2088"/>
      <c r="H62" s="2091"/>
      <c r="I62" s="2092"/>
      <c r="J62" s="2088"/>
      <c r="K62" s="2091"/>
      <c r="L62" s="247"/>
      <c r="Q62" s="130"/>
      <c r="R62" s="131"/>
    </row>
    <row r="63" spans="1:18" ht="11.25" customHeight="1" x14ac:dyDescent="0.25">
      <c r="A63" s="1187" t="s">
        <v>1084</v>
      </c>
      <c r="B63" s="989"/>
      <c r="C63" s="998">
        <f>SUM(C64)</f>
        <v>2940519.6799999997</v>
      </c>
      <c r="D63" s="998">
        <f t="shared" ref="D63:K63" si="15">SUM(D64)</f>
        <v>3418868.48</v>
      </c>
      <c r="E63" s="1362">
        <f t="shared" si="15"/>
        <v>4408534</v>
      </c>
      <c r="F63" s="999">
        <f t="shared" si="15"/>
        <v>3867328.92</v>
      </c>
      <c r="G63" s="998">
        <f t="shared" si="15"/>
        <v>3867328.92</v>
      </c>
      <c r="H63" s="1363">
        <f t="shared" si="15"/>
        <v>3867328.92</v>
      </c>
      <c r="I63" s="1364">
        <f t="shared" si="15"/>
        <v>4407522.5</v>
      </c>
      <c r="J63" s="998">
        <f t="shared" si="15"/>
        <v>4671973.8499999996</v>
      </c>
      <c r="K63" s="1363">
        <f t="shared" si="15"/>
        <v>4952292.28</v>
      </c>
      <c r="L63" s="247"/>
      <c r="Q63" s="130"/>
      <c r="R63" s="131"/>
    </row>
    <row r="64" spans="1:18" ht="11.25" customHeight="1" x14ac:dyDescent="0.25">
      <c r="A64" s="1402" t="s">
        <v>689</v>
      </c>
      <c r="B64" s="989"/>
      <c r="C64" s="2088">
        <v>2940519.6799999997</v>
      </c>
      <c r="D64" s="2088">
        <v>3418868.48</v>
      </c>
      <c r="E64" s="2089">
        <v>4408534</v>
      </c>
      <c r="F64" s="2090">
        <v>3867328.92</v>
      </c>
      <c r="G64" s="2088">
        <v>3867328.92</v>
      </c>
      <c r="H64" s="2091">
        <v>3867328.92</v>
      </c>
      <c r="I64" s="2092">
        <v>4407522.5</v>
      </c>
      <c r="J64" s="2088">
        <v>4671973.8499999996</v>
      </c>
      <c r="K64" s="2091">
        <v>4952292.28</v>
      </c>
      <c r="L64" s="247"/>
      <c r="Q64" s="130"/>
      <c r="R64" s="131"/>
    </row>
    <row r="65" spans="1:18" ht="11.25" customHeight="1" x14ac:dyDescent="0.25">
      <c r="A65" s="1128" t="s">
        <v>276</v>
      </c>
      <c r="B65" s="989"/>
      <c r="C65" s="1193">
        <f>SUM(C66:C70)</f>
        <v>0</v>
      </c>
      <c r="D65" s="1193">
        <f t="shared" ref="D65:K65" si="16">SUM(D66:D70)</f>
        <v>0</v>
      </c>
      <c r="E65" s="1359">
        <f t="shared" si="16"/>
        <v>0</v>
      </c>
      <c r="F65" s="1194">
        <f t="shared" si="16"/>
        <v>0</v>
      </c>
      <c r="G65" s="1193">
        <f t="shared" si="16"/>
        <v>0</v>
      </c>
      <c r="H65" s="1360">
        <f t="shared" si="16"/>
        <v>0</v>
      </c>
      <c r="I65" s="1361">
        <f t="shared" si="16"/>
        <v>0</v>
      </c>
      <c r="J65" s="1193">
        <f t="shared" si="16"/>
        <v>0</v>
      </c>
      <c r="K65" s="1360">
        <f t="shared" si="16"/>
        <v>0</v>
      </c>
      <c r="L65" s="247"/>
      <c r="Q65" s="130"/>
      <c r="R65" s="131"/>
    </row>
    <row r="66" spans="1:18" ht="11.25" customHeight="1" x14ac:dyDescent="0.25">
      <c r="A66" s="1187" t="s">
        <v>95</v>
      </c>
      <c r="B66" s="989"/>
      <c r="C66" s="2088"/>
      <c r="D66" s="2088"/>
      <c r="E66" s="2089"/>
      <c r="F66" s="2090"/>
      <c r="G66" s="2088"/>
      <c r="H66" s="2091"/>
      <c r="I66" s="2092"/>
      <c r="J66" s="2088"/>
      <c r="K66" s="2091"/>
      <c r="L66" s="247"/>
      <c r="Q66" s="130"/>
      <c r="R66" s="131"/>
    </row>
    <row r="67" spans="1:18" ht="11.25" customHeight="1" x14ac:dyDescent="0.25">
      <c r="A67" s="1187" t="s">
        <v>1194</v>
      </c>
      <c r="B67" s="989"/>
      <c r="C67" s="2088"/>
      <c r="D67" s="2088"/>
      <c r="E67" s="2089"/>
      <c r="F67" s="2090"/>
      <c r="G67" s="2088"/>
      <c r="H67" s="2091"/>
      <c r="I67" s="2092"/>
      <c r="J67" s="2088"/>
      <c r="K67" s="2091"/>
      <c r="L67" s="247"/>
      <c r="Q67" s="130"/>
      <c r="R67" s="131"/>
    </row>
    <row r="68" spans="1:18" ht="11.25" customHeight="1" x14ac:dyDescent="0.25">
      <c r="A68" s="1187" t="s">
        <v>588</v>
      </c>
      <c r="B68" s="989"/>
      <c r="C68" s="2088"/>
      <c r="D68" s="2088"/>
      <c r="E68" s="2089"/>
      <c r="F68" s="2090"/>
      <c r="G68" s="2088"/>
      <c r="H68" s="2091"/>
      <c r="I68" s="2092"/>
      <c r="J68" s="2088"/>
      <c r="K68" s="2091"/>
      <c r="L68" s="247"/>
      <c r="Q68" s="130"/>
      <c r="R68" s="131"/>
    </row>
    <row r="69" spans="1:18" ht="11.25" customHeight="1" x14ac:dyDescent="0.25">
      <c r="A69" s="1187" t="s">
        <v>96</v>
      </c>
      <c r="B69" s="1045"/>
      <c r="C69" s="2088"/>
      <c r="D69" s="2088"/>
      <c r="E69" s="2089"/>
      <c r="F69" s="2090"/>
      <c r="G69" s="2088"/>
      <c r="H69" s="2091"/>
      <c r="I69" s="2092"/>
      <c r="J69" s="2088"/>
      <c r="K69" s="2091"/>
      <c r="L69" s="247"/>
      <c r="Q69" s="130"/>
      <c r="R69" s="131"/>
    </row>
    <row r="70" spans="1:18" ht="11.25" customHeight="1" x14ac:dyDescent="0.25">
      <c r="A70" s="1187" t="s">
        <v>1195</v>
      </c>
      <c r="B70" s="1045"/>
      <c r="C70" s="2088"/>
      <c r="D70" s="2088"/>
      <c r="E70" s="2089"/>
      <c r="F70" s="2090"/>
      <c r="G70" s="2088"/>
      <c r="H70" s="2091"/>
      <c r="I70" s="2092"/>
      <c r="J70" s="2088"/>
      <c r="K70" s="2091"/>
      <c r="L70" s="247"/>
      <c r="Q70" s="130"/>
      <c r="R70" s="131"/>
    </row>
    <row r="71" spans="1:18" ht="11.25" customHeight="1" x14ac:dyDescent="0.25">
      <c r="A71" s="1046" t="str">
        <f>"Total "&amp;A4</f>
        <v>Total Revenue - Standard</v>
      </c>
      <c r="B71" s="1045">
        <v>2</v>
      </c>
      <c r="C71" s="145">
        <f>C5+C15+C37+C52+C65</f>
        <v>178889176.97020003</v>
      </c>
      <c r="D71" s="145">
        <f>D5+D15+D37+D52+D65</f>
        <v>180545507.99999997</v>
      </c>
      <c r="E71" s="1369">
        <f t="shared" ref="E71:J71" si="17">E5+E15+E37+E52+E65</f>
        <v>218730213</v>
      </c>
      <c r="F71" s="148">
        <f t="shared" si="17"/>
        <v>257174350.69</v>
      </c>
      <c r="G71" s="145">
        <f t="shared" si="17"/>
        <v>259141861.60000002</v>
      </c>
      <c r="H71" s="1370">
        <f t="shared" si="17"/>
        <v>259141861.60000002</v>
      </c>
      <c r="I71" s="1371">
        <f t="shared" si="17"/>
        <v>261768865.43000001</v>
      </c>
      <c r="J71" s="145">
        <f t="shared" si="17"/>
        <v>279101537.33999997</v>
      </c>
      <c r="K71" s="1370">
        <f>K5+K15+K37+K52+K65</f>
        <v>296482729.57999998</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77096770.842999995</v>
      </c>
      <c r="D74" s="1193">
        <f t="shared" si="18"/>
        <v>86797331.979999989</v>
      </c>
      <c r="E74" s="1359">
        <f t="shared" si="18"/>
        <v>100171991.40879999</v>
      </c>
      <c r="F74" s="1194">
        <f t="shared" si="18"/>
        <v>137009646.00999999</v>
      </c>
      <c r="G74" s="1193">
        <f t="shared" si="18"/>
        <v>135544676.44999999</v>
      </c>
      <c r="H74" s="1360">
        <f t="shared" si="18"/>
        <v>135544676.44999999</v>
      </c>
      <c r="I74" s="1361">
        <f>I75+I78+I79</f>
        <v>146945439.31877449</v>
      </c>
      <c r="J74" s="1193">
        <f t="shared" si="18"/>
        <v>153807085.67999998</v>
      </c>
      <c r="K74" s="1360">
        <f t="shared" si="18"/>
        <v>163161810.81999999</v>
      </c>
      <c r="L74" s="247"/>
      <c r="Q74" s="123"/>
    </row>
    <row r="75" spans="1:18" ht="11.25" customHeight="1" x14ac:dyDescent="0.25">
      <c r="A75" s="1187" t="str">
        <f t="shared" ref="A75:A138" si="19">A6</f>
        <v>Executive and council</v>
      </c>
      <c r="B75" s="1047"/>
      <c r="C75" s="970">
        <f t="shared" ref="C75:K75" si="20">SUM(C76:C77)</f>
        <v>19950000</v>
      </c>
      <c r="D75" s="970">
        <f t="shared" si="20"/>
        <v>21147000</v>
      </c>
      <c r="E75" s="1276">
        <f t="shared" si="20"/>
        <v>22460529.399999999</v>
      </c>
      <c r="F75" s="971">
        <f t="shared" si="20"/>
        <v>31435760.09</v>
      </c>
      <c r="G75" s="970">
        <f t="shared" si="20"/>
        <v>29700198.799999997</v>
      </c>
      <c r="H75" s="1007">
        <f t="shared" si="20"/>
        <v>29700198.799999997</v>
      </c>
      <c r="I75" s="1277">
        <f t="shared" si="20"/>
        <v>33511026.580734007</v>
      </c>
      <c r="J75" s="970">
        <f t="shared" si="20"/>
        <v>33340208.18</v>
      </c>
      <c r="K75" s="1007">
        <f t="shared" si="20"/>
        <v>35340620.660000004</v>
      </c>
      <c r="L75" s="247"/>
      <c r="Q75" s="123"/>
    </row>
    <row r="76" spans="1:18" ht="11.25" customHeight="1" x14ac:dyDescent="0.25">
      <c r="A76" s="1402" t="str">
        <f t="shared" si="19"/>
        <v>Mayor and Council</v>
      </c>
      <c r="B76" s="1047"/>
      <c r="C76" s="2088">
        <v>16601000</v>
      </c>
      <c r="D76" s="2088">
        <v>17597060</v>
      </c>
      <c r="E76" s="2089">
        <v>18697593</v>
      </c>
      <c r="F76" s="2090">
        <v>27807177.469999999</v>
      </c>
      <c r="G76" s="2088">
        <v>25801725.289999999</v>
      </c>
      <c r="H76" s="2091">
        <v>25801725.289999999</v>
      </c>
      <c r="I76" s="2092">
        <v>29096959.099250399</v>
      </c>
      <c r="J76" s="2088">
        <v>28661296.649999999</v>
      </c>
      <c r="K76" s="2091">
        <v>30380974.440000001</v>
      </c>
      <c r="L76" s="247"/>
      <c r="Q76" s="123"/>
    </row>
    <row r="77" spans="1:18" ht="11.25" customHeight="1" x14ac:dyDescent="0.25">
      <c r="A77" s="1402" t="str">
        <f t="shared" si="19"/>
        <v>Municipal Manager</v>
      </c>
      <c r="B77" s="1047"/>
      <c r="C77" s="2088">
        <v>3349000</v>
      </c>
      <c r="D77" s="2088">
        <v>3549940</v>
      </c>
      <c r="E77" s="2089">
        <v>3762936.4</v>
      </c>
      <c r="F77" s="2090">
        <v>3628582.62</v>
      </c>
      <c r="G77" s="2088">
        <v>3898473.51</v>
      </c>
      <c r="H77" s="2091">
        <v>3898473.51</v>
      </c>
      <c r="I77" s="2092">
        <v>4414067.4814836103</v>
      </c>
      <c r="J77" s="2088">
        <v>4678911.53</v>
      </c>
      <c r="K77" s="2091">
        <v>4959646.22</v>
      </c>
      <c r="L77" s="247"/>
      <c r="Q77" s="123"/>
    </row>
    <row r="78" spans="1:18" ht="11.25" customHeight="1" x14ac:dyDescent="0.25">
      <c r="A78" s="1187" t="str">
        <f t="shared" si="19"/>
        <v>Budget and treasury office</v>
      </c>
      <c r="B78" s="1047"/>
      <c r="C78" s="2093">
        <v>41971770.843000002</v>
      </c>
      <c r="D78" s="2093">
        <v>47264831.979999997</v>
      </c>
      <c r="E78" s="2094">
        <v>56788387.398800001</v>
      </c>
      <c r="F78" s="2095">
        <v>82279798.849999994</v>
      </c>
      <c r="G78" s="2093">
        <v>82558732.519999996</v>
      </c>
      <c r="H78" s="2096">
        <v>82558732.519999996</v>
      </c>
      <c r="I78" s="2097">
        <v>87598437.310000002</v>
      </c>
      <c r="J78" s="2093">
        <v>93080743.549999997</v>
      </c>
      <c r="K78" s="2096">
        <v>98791888.159999996</v>
      </c>
      <c r="L78" s="247"/>
      <c r="Q78" s="123"/>
    </row>
    <row r="79" spans="1:18" ht="11.25" customHeight="1" x14ac:dyDescent="0.25">
      <c r="A79" s="1187" t="str">
        <f t="shared" si="19"/>
        <v>Corporate services</v>
      </c>
      <c r="B79" s="1047"/>
      <c r="C79" s="970">
        <f t="shared" ref="C79:K79" si="21">SUM(C80:C83)</f>
        <v>15175000</v>
      </c>
      <c r="D79" s="970">
        <f t="shared" si="21"/>
        <v>18385500</v>
      </c>
      <c r="E79" s="1276">
        <f t="shared" si="21"/>
        <v>20923074.609999999</v>
      </c>
      <c r="F79" s="971">
        <f t="shared" si="21"/>
        <v>23294087.07</v>
      </c>
      <c r="G79" s="970">
        <f t="shared" si="21"/>
        <v>23285745.129999999</v>
      </c>
      <c r="H79" s="1007">
        <f t="shared" si="21"/>
        <v>23285745.129999999</v>
      </c>
      <c r="I79" s="1277">
        <f t="shared" si="21"/>
        <v>25835975.428040482</v>
      </c>
      <c r="J79" s="970">
        <f t="shared" si="21"/>
        <v>27386133.949999999</v>
      </c>
      <c r="K79" s="1007">
        <f t="shared" si="21"/>
        <v>29029302</v>
      </c>
      <c r="L79" s="247"/>
      <c r="Q79" s="123"/>
    </row>
    <row r="80" spans="1:18" ht="11.25" customHeight="1" x14ac:dyDescent="0.25">
      <c r="A80" s="1402" t="str">
        <f t="shared" si="19"/>
        <v>Human Resources</v>
      </c>
      <c r="B80" s="1047"/>
      <c r="C80" s="2088">
        <v>4771000</v>
      </c>
      <c r="D80" s="2088">
        <v>5057260</v>
      </c>
      <c r="E80" s="2089">
        <v>4427012</v>
      </c>
      <c r="F80" s="2090">
        <v>8860497.5999999996</v>
      </c>
      <c r="G80" s="2088">
        <v>8457769.3499999996</v>
      </c>
      <c r="H80" s="2091">
        <v>8457769.3499999996</v>
      </c>
      <c r="I80" s="2092">
        <v>9574148.3593507186</v>
      </c>
      <c r="J80" s="2088">
        <v>10148597.26</v>
      </c>
      <c r="K80" s="2091">
        <v>10757513.1</v>
      </c>
      <c r="L80" s="247"/>
      <c r="Q80" s="123"/>
    </row>
    <row r="81" spans="1:17" ht="11.25" customHeight="1" x14ac:dyDescent="0.25">
      <c r="A81" s="1402" t="str">
        <f t="shared" si="19"/>
        <v>Information Technology</v>
      </c>
      <c r="B81" s="1047"/>
      <c r="C81" s="2088"/>
      <c r="D81" s="2088"/>
      <c r="E81" s="2089"/>
      <c r="F81" s="2090"/>
      <c r="G81" s="2088"/>
      <c r="H81" s="2091"/>
      <c r="I81" s="2092">
        <v>3481528.71</v>
      </c>
      <c r="J81" s="2088">
        <v>3690420.43</v>
      </c>
      <c r="K81" s="2091">
        <v>3911845.66</v>
      </c>
      <c r="L81" s="247"/>
      <c r="Q81" s="123"/>
    </row>
    <row r="82" spans="1:17" ht="11.25" customHeight="1" x14ac:dyDescent="0.25">
      <c r="A82" s="1402" t="str">
        <f t="shared" si="19"/>
        <v>Property Services</v>
      </c>
      <c r="B82" s="1047"/>
      <c r="C82" s="2088">
        <v>2297000</v>
      </c>
      <c r="D82" s="2088">
        <v>3434820</v>
      </c>
      <c r="E82" s="2089">
        <v>6097288.6100000003</v>
      </c>
      <c r="F82" s="2090">
        <v>3090168.86</v>
      </c>
      <c r="G82" s="2088">
        <v>2792719.78</v>
      </c>
      <c r="H82" s="2091">
        <v>2792719.78</v>
      </c>
      <c r="I82" s="2092">
        <v>3241562.9668000001</v>
      </c>
      <c r="J82" s="2088">
        <v>3436056.74</v>
      </c>
      <c r="K82" s="2091">
        <v>3642220.15</v>
      </c>
      <c r="L82" s="247"/>
      <c r="Q82" s="123"/>
    </row>
    <row r="83" spans="1:17" ht="11.25" customHeight="1" x14ac:dyDescent="0.25">
      <c r="A83" s="1402" t="str">
        <f t="shared" si="19"/>
        <v>Other Admin</v>
      </c>
      <c r="B83" s="1047"/>
      <c r="C83" s="2088">
        <v>8107000</v>
      </c>
      <c r="D83" s="2088">
        <v>9893420</v>
      </c>
      <c r="E83" s="2089">
        <v>10398774</v>
      </c>
      <c r="F83" s="2090">
        <v>11343420.609999999</v>
      </c>
      <c r="G83" s="2088">
        <v>12035256</v>
      </c>
      <c r="H83" s="2091">
        <v>12035256</v>
      </c>
      <c r="I83" s="2092">
        <v>9538735.3918897603</v>
      </c>
      <c r="J83" s="2088">
        <v>10111059.52</v>
      </c>
      <c r="K83" s="2091">
        <v>10717723.09</v>
      </c>
      <c r="L83" s="247"/>
      <c r="Q83" s="123"/>
    </row>
    <row r="84" spans="1:17" ht="11.25" customHeight="1" x14ac:dyDescent="0.25">
      <c r="A84" s="1128" t="str">
        <f t="shared" si="19"/>
        <v>Community and public safety</v>
      </c>
      <c r="B84" s="1047"/>
      <c r="C84" s="1193">
        <f t="shared" ref="C84:K84" si="22">C85+C94+C95+C101+C102</f>
        <v>20470406.087779999</v>
      </c>
      <c r="D84" s="1193">
        <f t="shared" si="22"/>
        <v>23378630.451134998</v>
      </c>
      <c r="E84" s="1359">
        <f t="shared" si="22"/>
        <v>20564711.881999999</v>
      </c>
      <c r="F84" s="1194">
        <f t="shared" si="22"/>
        <v>49942430.560000002</v>
      </c>
      <c r="G84" s="1193">
        <f t="shared" si="22"/>
        <v>48191898.289999999</v>
      </c>
      <c r="H84" s="1360">
        <f t="shared" si="22"/>
        <v>48191898.289999999</v>
      </c>
      <c r="I84" s="1361">
        <f t="shared" si="22"/>
        <v>36155591.777176194</v>
      </c>
      <c r="J84" s="1193">
        <f t="shared" si="22"/>
        <v>38324927.289999999</v>
      </c>
      <c r="K84" s="1360">
        <f t="shared" si="22"/>
        <v>40624422.93</v>
      </c>
      <c r="L84" s="247"/>
      <c r="Q84" s="123"/>
    </row>
    <row r="85" spans="1:17" ht="11.25" customHeight="1" x14ac:dyDescent="0.25">
      <c r="A85" s="1187" t="str">
        <f t="shared" si="19"/>
        <v>Community and social services</v>
      </c>
      <c r="B85" s="1047"/>
      <c r="C85" s="998">
        <f t="shared" ref="C85:K85" si="23">SUM(C86:C93)</f>
        <v>7123077.324</v>
      </c>
      <c r="D85" s="998">
        <f t="shared" si="23"/>
        <v>7850461.9633999998</v>
      </c>
      <c r="E85" s="1362">
        <f t="shared" si="23"/>
        <v>9498990.0120000001</v>
      </c>
      <c r="F85" s="999">
        <f t="shared" si="23"/>
        <v>23079479.879999999</v>
      </c>
      <c r="G85" s="998">
        <f t="shared" si="23"/>
        <v>21775987.18</v>
      </c>
      <c r="H85" s="1363">
        <f t="shared" si="23"/>
        <v>21775987.18</v>
      </c>
      <c r="I85" s="1364">
        <f t="shared" si="23"/>
        <v>9485323.9679113198</v>
      </c>
      <c r="J85" s="998">
        <f t="shared" si="23"/>
        <v>10054443.41</v>
      </c>
      <c r="K85" s="1363">
        <f t="shared" si="23"/>
        <v>10657710.02</v>
      </c>
      <c r="L85" s="247"/>
      <c r="Q85" s="123"/>
    </row>
    <row r="86" spans="1:17" ht="11.25" customHeight="1" x14ac:dyDescent="0.25">
      <c r="A86" s="1402" t="str">
        <f t="shared" si="19"/>
        <v>Libraries and Archives</v>
      </c>
      <c r="B86" s="1047"/>
      <c r="C86" s="2088">
        <v>551000</v>
      </c>
      <c r="D86" s="2088">
        <v>884060</v>
      </c>
      <c r="E86" s="2089">
        <v>915588</v>
      </c>
      <c r="F86" s="2090">
        <v>538130.28</v>
      </c>
      <c r="G86" s="2088">
        <v>538130.28</v>
      </c>
      <c r="H86" s="2091">
        <v>538130.28</v>
      </c>
      <c r="I86" s="2092">
        <v>575185.50729999994</v>
      </c>
      <c r="J86" s="2088">
        <v>609696.64</v>
      </c>
      <c r="K86" s="2091">
        <v>646278.43999999994</v>
      </c>
      <c r="L86" s="247"/>
      <c r="Q86" s="123"/>
    </row>
    <row r="87" spans="1:17" ht="11.25" customHeight="1" x14ac:dyDescent="0.25">
      <c r="A87" s="1402" t="str">
        <f t="shared" si="19"/>
        <v>Museums &amp; Art Galleries etc</v>
      </c>
      <c r="B87" s="1047"/>
      <c r="C87" s="2088"/>
      <c r="D87" s="2088"/>
      <c r="E87" s="2089"/>
      <c r="F87" s="2090"/>
      <c r="G87" s="2088"/>
      <c r="H87" s="2091"/>
      <c r="I87" s="2092"/>
      <c r="J87" s="2088"/>
      <c r="K87" s="2091"/>
      <c r="L87" s="247"/>
      <c r="Q87" s="123"/>
    </row>
    <row r="88" spans="1:17" ht="11.25" customHeight="1" x14ac:dyDescent="0.25">
      <c r="A88" s="1402" t="str">
        <f t="shared" si="19"/>
        <v>Community halls and Facilities</v>
      </c>
      <c r="B88" s="1047"/>
      <c r="C88" s="2088"/>
      <c r="D88" s="2088"/>
      <c r="E88" s="2089"/>
      <c r="F88" s="2090"/>
      <c r="G88" s="2088"/>
      <c r="H88" s="2091"/>
      <c r="I88" s="2092"/>
      <c r="J88" s="2088"/>
      <c r="K88" s="2091"/>
      <c r="L88" s="247"/>
      <c r="Q88" s="123"/>
    </row>
    <row r="89" spans="1:17" ht="11.25" customHeight="1" x14ac:dyDescent="0.25">
      <c r="A89" s="1402" t="str">
        <f t="shared" si="19"/>
        <v>Cemeteries &amp; Crematoriums</v>
      </c>
      <c r="B89" s="1047"/>
      <c r="C89" s="2088">
        <v>3968000</v>
      </c>
      <c r="D89" s="2088">
        <v>4206080</v>
      </c>
      <c r="E89" s="2089">
        <v>6697677.1320000002</v>
      </c>
      <c r="F89" s="2090">
        <v>7099537.7599999998</v>
      </c>
      <c r="G89" s="2088">
        <v>6657322.8499999996</v>
      </c>
      <c r="H89" s="2091">
        <v>6657322.8499999996</v>
      </c>
      <c r="I89" s="2092">
        <v>7369121.8727480005</v>
      </c>
      <c r="J89" s="2088">
        <v>7811269.1900000004</v>
      </c>
      <c r="K89" s="2091">
        <v>8279945.3399999999</v>
      </c>
      <c r="L89" s="247"/>
      <c r="Q89" s="123"/>
    </row>
    <row r="90" spans="1:17" ht="11.25" customHeight="1" x14ac:dyDescent="0.25">
      <c r="A90" s="1402" t="str">
        <f t="shared" si="19"/>
        <v>Child Care</v>
      </c>
      <c r="B90" s="1047"/>
      <c r="C90" s="2088"/>
      <c r="D90" s="2088"/>
      <c r="E90" s="2089"/>
      <c r="F90" s="2090"/>
      <c r="G90" s="2088"/>
      <c r="H90" s="2091"/>
      <c r="I90" s="2092"/>
      <c r="J90" s="2088"/>
      <c r="K90" s="2091"/>
      <c r="L90" s="247"/>
      <c r="Q90" s="123"/>
    </row>
    <row r="91" spans="1:17" ht="11.25" customHeight="1" x14ac:dyDescent="0.25">
      <c r="A91" s="1402" t="str">
        <f t="shared" si="19"/>
        <v>Aged Care</v>
      </c>
      <c r="B91" s="1047"/>
      <c r="C91" s="2088"/>
      <c r="D91" s="2088"/>
      <c r="E91" s="2089"/>
      <c r="F91" s="2090"/>
      <c r="G91" s="2088"/>
      <c r="H91" s="2091"/>
      <c r="I91" s="2092"/>
      <c r="J91" s="2088"/>
      <c r="K91" s="2091"/>
      <c r="L91" s="247"/>
      <c r="Q91" s="123"/>
    </row>
    <row r="92" spans="1:17" ht="11.25" customHeight="1" x14ac:dyDescent="0.25">
      <c r="A92" s="1402" t="str">
        <f t="shared" si="19"/>
        <v>Other Community</v>
      </c>
      <c r="B92" s="1047"/>
      <c r="C92" s="2088">
        <v>2604077.324</v>
      </c>
      <c r="D92" s="2088">
        <v>2760321.9633999998</v>
      </c>
      <c r="E92" s="2089">
        <v>1885724.88</v>
      </c>
      <c r="F92" s="2090">
        <v>15441811.84</v>
      </c>
      <c r="G92" s="2088">
        <v>14580534.050000001</v>
      </c>
      <c r="H92" s="2091">
        <v>14580534.050000001</v>
      </c>
      <c r="I92" s="2092">
        <v>1343416.58786332</v>
      </c>
      <c r="J92" s="2088">
        <v>1424021.58</v>
      </c>
      <c r="K92" s="2091">
        <v>1509462.88</v>
      </c>
      <c r="L92" s="247"/>
      <c r="Q92" s="123"/>
    </row>
    <row r="93" spans="1:17" ht="11.25" customHeight="1" x14ac:dyDescent="0.25">
      <c r="A93" s="1402" t="str">
        <f t="shared" si="19"/>
        <v>Other Social</v>
      </c>
      <c r="B93" s="1047"/>
      <c r="C93" s="2088"/>
      <c r="D93" s="2088"/>
      <c r="E93" s="2089"/>
      <c r="F93" s="2090"/>
      <c r="G93" s="2088"/>
      <c r="H93" s="2091"/>
      <c r="I93" s="2092">
        <v>197600</v>
      </c>
      <c r="J93" s="2088">
        <v>209456</v>
      </c>
      <c r="K93" s="2091">
        <v>222023.36</v>
      </c>
      <c r="L93" s="247"/>
      <c r="Q93" s="123"/>
    </row>
    <row r="94" spans="1:17" ht="11.25" customHeight="1" x14ac:dyDescent="0.25">
      <c r="A94" s="1187" t="str">
        <f t="shared" si="19"/>
        <v>Sport and recreation</v>
      </c>
      <c r="B94" s="1047"/>
      <c r="C94" s="2088">
        <v>283552.86577999999</v>
      </c>
      <c r="D94" s="2088">
        <v>310566.03773500002</v>
      </c>
      <c r="E94" s="2089">
        <v>318600</v>
      </c>
      <c r="F94" s="2090">
        <v>1573122.04</v>
      </c>
      <c r="G94" s="2088">
        <v>1508440.04</v>
      </c>
      <c r="H94" s="2091">
        <v>1508440.04</v>
      </c>
      <c r="I94" s="2092">
        <v>2094573.0984</v>
      </c>
      <c r="J94" s="2088">
        <v>2220247.48</v>
      </c>
      <c r="K94" s="2091">
        <v>2353462.33</v>
      </c>
      <c r="L94" s="247"/>
      <c r="Q94" s="123"/>
    </row>
    <row r="95" spans="1:17" ht="11.25" customHeight="1" x14ac:dyDescent="0.25">
      <c r="A95" s="1187" t="str">
        <f t="shared" si="19"/>
        <v>Public safety</v>
      </c>
      <c r="B95" s="1047"/>
      <c r="C95" s="998">
        <f t="shared" ref="C95:K95" si="24">SUM(C96:C100)</f>
        <v>7927000</v>
      </c>
      <c r="D95" s="998">
        <f t="shared" si="24"/>
        <v>9772620</v>
      </c>
      <c r="E95" s="1362">
        <f t="shared" si="24"/>
        <v>4641816.87</v>
      </c>
      <c r="F95" s="999">
        <f t="shared" si="24"/>
        <v>16485044.5</v>
      </c>
      <c r="G95" s="998">
        <f t="shared" si="24"/>
        <v>16339108.83</v>
      </c>
      <c r="H95" s="1363">
        <f t="shared" si="24"/>
        <v>16339108.83</v>
      </c>
      <c r="I95" s="1364">
        <f t="shared" si="24"/>
        <v>15256325.279999999</v>
      </c>
      <c r="J95" s="998">
        <f t="shared" si="24"/>
        <v>16171704.800000001</v>
      </c>
      <c r="K95" s="1363">
        <f t="shared" si="24"/>
        <v>17142007.079999998</v>
      </c>
      <c r="L95" s="247"/>
      <c r="Q95" s="123"/>
    </row>
    <row r="96" spans="1:17" ht="11.25" customHeight="1" x14ac:dyDescent="0.25">
      <c r="A96" s="1402" t="str">
        <f t="shared" si="19"/>
        <v>Police</v>
      </c>
      <c r="B96" s="1047"/>
      <c r="C96" s="2088"/>
      <c r="D96" s="2088"/>
      <c r="E96" s="2089"/>
      <c r="F96" s="2090"/>
      <c r="G96" s="2088"/>
      <c r="H96" s="2091"/>
      <c r="I96" s="2092"/>
      <c r="J96" s="2088"/>
      <c r="K96" s="2091"/>
      <c r="L96" s="247"/>
      <c r="Q96" s="123"/>
    </row>
    <row r="97" spans="1:17" ht="11.25" customHeight="1" x14ac:dyDescent="0.25">
      <c r="A97" s="1402" t="str">
        <f t="shared" si="19"/>
        <v>Fire</v>
      </c>
      <c r="B97" s="1047"/>
      <c r="C97" s="2088"/>
      <c r="D97" s="2088"/>
      <c r="E97" s="2089"/>
      <c r="F97" s="2090"/>
      <c r="G97" s="2088"/>
      <c r="H97" s="2091"/>
      <c r="I97" s="2092"/>
      <c r="J97" s="2088"/>
      <c r="K97" s="2091"/>
      <c r="L97" s="247"/>
      <c r="Q97" s="123"/>
    </row>
    <row r="98" spans="1:17" ht="11.25" customHeight="1" x14ac:dyDescent="0.25">
      <c r="A98" s="1402" t="str">
        <f t="shared" si="19"/>
        <v>Civil Defence</v>
      </c>
      <c r="B98" s="1047"/>
      <c r="C98" s="2088"/>
      <c r="D98" s="2088"/>
      <c r="E98" s="2089"/>
      <c r="F98" s="2090"/>
      <c r="G98" s="2088"/>
      <c r="H98" s="2091"/>
      <c r="I98" s="2092"/>
      <c r="J98" s="2088"/>
      <c r="K98" s="2091"/>
      <c r="L98" s="247"/>
      <c r="Q98" s="123"/>
    </row>
    <row r="99" spans="1:17" ht="11.25" customHeight="1" x14ac:dyDescent="0.25">
      <c r="A99" s="1402" t="str">
        <f t="shared" si="19"/>
        <v>Street Lighting</v>
      </c>
      <c r="B99" s="1047"/>
      <c r="C99" s="2088"/>
      <c r="D99" s="2088"/>
      <c r="E99" s="2089"/>
      <c r="F99" s="2090"/>
      <c r="G99" s="2088"/>
      <c r="H99" s="2091"/>
      <c r="I99" s="2092"/>
      <c r="J99" s="2088"/>
      <c r="K99" s="2091"/>
      <c r="L99" s="247"/>
      <c r="Q99" s="123"/>
    </row>
    <row r="100" spans="1:17" ht="11.25" customHeight="1" x14ac:dyDescent="0.25">
      <c r="A100" s="1402" t="str">
        <f t="shared" si="19"/>
        <v>Other</v>
      </c>
      <c r="B100" s="1047"/>
      <c r="C100" s="2088">
        <v>7927000</v>
      </c>
      <c r="D100" s="2088">
        <v>9772620</v>
      </c>
      <c r="E100" s="2089">
        <v>4641816.87</v>
      </c>
      <c r="F100" s="2090">
        <v>16485044.5</v>
      </c>
      <c r="G100" s="2088">
        <v>16339108.83</v>
      </c>
      <c r="H100" s="2091">
        <v>16339108.83</v>
      </c>
      <c r="I100" s="2092">
        <v>15256325.279999999</v>
      </c>
      <c r="J100" s="2088">
        <v>16171704.800000001</v>
      </c>
      <c r="K100" s="2091">
        <v>17142007.079999998</v>
      </c>
      <c r="L100" s="247"/>
      <c r="Q100" s="123"/>
    </row>
    <row r="101" spans="1:17" ht="11.25" customHeight="1" x14ac:dyDescent="0.25">
      <c r="A101" s="1187" t="str">
        <f t="shared" si="19"/>
        <v>Housing</v>
      </c>
      <c r="B101" s="1047"/>
      <c r="C101" s="2098">
        <v>4260775.898</v>
      </c>
      <c r="D101" s="2098">
        <v>4516422.45</v>
      </c>
      <c r="E101" s="2099">
        <v>5222227</v>
      </c>
      <c r="F101" s="2100">
        <v>5271611.04</v>
      </c>
      <c r="G101" s="2098">
        <v>5426122.3399999999</v>
      </c>
      <c r="H101" s="2101">
        <v>5426122.3399999999</v>
      </c>
      <c r="I101" s="2102">
        <v>5988595.1368648792</v>
      </c>
      <c r="J101" s="2098">
        <v>6347910.8499999996</v>
      </c>
      <c r="K101" s="2101">
        <v>6728785.5</v>
      </c>
      <c r="L101" s="247"/>
      <c r="Q101" s="123"/>
    </row>
    <row r="102" spans="1:17" ht="11.25" customHeight="1" x14ac:dyDescent="0.25">
      <c r="A102" s="1187" t="str">
        <f t="shared" si="19"/>
        <v>Health</v>
      </c>
      <c r="B102" s="1047"/>
      <c r="C102" s="998">
        <f t="shared" ref="C102:K102" si="25">SUM(C103:C105)</f>
        <v>876000</v>
      </c>
      <c r="D102" s="998">
        <f t="shared" si="25"/>
        <v>928560</v>
      </c>
      <c r="E102" s="1362">
        <f t="shared" si="25"/>
        <v>883078</v>
      </c>
      <c r="F102" s="999">
        <f t="shared" si="25"/>
        <v>3533173.1</v>
      </c>
      <c r="G102" s="998">
        <f t="shared" si="25"/>
        <v>3142239.9</v>
      </c>
      <c r="H102" s="1363">
        <f t="shared" si="25"/>
        <v>3142239.9</v>
      </c>
      <c r="I102" s="1364">
        <f t="shared" si="25"/>
        <v>3330774.2939999993</v>
      </c>
      <c r="J102" s="998">
        <f t="shared" si="25"/>
        <v>3530620.75</v>
      </c>
      <c r="K102" s="1363">
        <f t="shared" si="25"/>
        <v>3742458</v>
      </c>
      <c r="L102" s="247"/>
      <c r="Q102" s="123"/>
    </row>
    <row r="103" spans="1:17" ht="11.25" customHeight="1" x14ac:dyDescent="0.25">
      <c r="A103" s="1402" t="str">
        <f t="shared" si="19"/>
        <v>Clinics</v>
      </c>
      <c r="B103" s="1047"/>
      <c r="C103" s="2088"/>
      <c r="D103" s="2088"/>
      <c r="E103" s="2089"/>
      <c r="F103" s="2090"/>
      <c r="G103" s="2088"/>
      <c r="H103" s="2091"/>
      <c r="I103" s="2092"/>
      <c r="J103" s="2088"/>
      <c r="K103" s="2091"/>
      <c r="L103" s="247"/>
      <c r="Q103" s="123"/>
    </row>
    <row r="104" spans="1:17" ht="11.25" customHeight="1" x14ac:dyDescent="0.25">
      <c r="A104" s="1402" t="str">
        <f t="shared" si="19"/>
        <v>Ambulance</v>
      </c>
      <c r="B104" s="1047"/>
      <c r="C104" s="2088"/>
      <c r="D104" s="2088"/>
      <c r="E104" s="2089"/>
      <c r="F104" s="2090"/>
      <c r="G104" s="2088"/>
      <c r="H104" s="2091"/>
      <c r="I104" s="2092"/>
      <c r="J104" s="2088"/>
      <c r="K104" s="2091"/>
      <c r="L104" s="247"/>
      <c r="Q104" s="123"/>
    </row>
    <row r="105" spans="1:17" ht="11.25" customHeight="1" x14ac:dyDescent="0.25">
      <c r="A105" s="1402" t="str">
        <f t="shared" si="19"/>
        <v xml:space="preserve">Other   </v>
      </c>
      <c r="B105" s="1047"/>
      <c r="C105" s="2088">
        <v>876000</v>
      </c>
      <c r="D105" s="2088">
        <v>928560</v>
      </c>
      <c r="E105" s="2089">
        <v>883078</v>
      </c>
      <c r="F105" s="2090">
        <v>3533173.1</v>
      </c>
      <c r="G105" s="2088">
        <v>3142239.9</v>
      </c>
      <c r="H105" s="2091">
        <v>3142239.9</v>
      </c>
      <c r="I105" s="2092">
        <v>3330774.2939999993</v>
      </c>
      <c r="J105" s="2088">
        <v>3530620.75</v>
      </c>
      <c r="K105" s="2091">
        <v>3742458</v>
      </c>
      <c r="L105" s="247"/>
      <c r="Q105" s="123"/>
    </row>
    <row r="106" spans="1:17" ht="11.25" customHeight="1" x14ac:dyDescent="0.25">
      <c r="A106" s="1128" t="str">
        <f t="shared" si="19"/>
        <v>Economic and environmental services</v>
      </c>
      <c r="B106" s="1047"/>
      <c r="C106" s="1193">
        <f t="shared" ref="C106:K106" si="26">C107+C111+C117</f>
        <v>22721333</v>
      </c>
      <c r="D106" s="1193">
        <f t="shared" si="26"/>
        <v>24084612.98</v>
      </c>
      <c r="E106" s="1359">
        <f t="shared" si="26"/>
        <v>21482058</v>
      </c>
      <c r="F106" s="1194">
        <f t="shared" si="26"/>
        <v>66861322.289999999</v>
      </c>
      <c r="G106" s="1193">
        <f t="shared" si="26"/>
        <v>68236414.709999993</v>
      </c>
      <c r="H106" s="1360">
        <f t="shared" si="26"/>
        <v>68236414.709999993</v>
      </c>
      <c r="I106" s="1361">
        <f t="shared" si="26"/>
        <v>92621149.971539363</v>
      </c>
      <c r="J106" s="1193">
        <f t="shared" si="26"/>
        <v>98518398.970461503</v>
      </c>
      <c r="K106" s="1360">
        <f t="shared" si="26"/>
        <v>105186762.9048892</v>
      </c>
      <c r="L106" s="247"/>
      <c r="Q106" s="123"/>
    </row>
    <row r="107" spans="1:17" ht="11.25" customHeight="1" x14ac:dyDescent="0.25">
      <c r="A107" s="1187" t="str">
        <f t="shared" si="19"/>
        <v>Planning and development</v>
      </c>
      <c r="B107" s="1047"/>
      <c r="C107" s="998">
        <f t="shared" ref="C107:K107" si="27">SUM(C108:C110)</f>
        <v>5184000</v>
      </c>
      <c r="D107" s="998">
        <f t="shared" si="27"/>
        <v>5495040</v>
      </c>
      <c r="E107" s="1362">
        <f t="shared" si="27"/>
        <v>5824742.4000000004</v>
      </c>
      <c r="F107" s="999">
        <f t="shared" si="27"/>
        <v>4507293.3499999996</v>
      </c>
      <c r="G107" s="998">
        <f t="shared" si="27"/>
        <v>4298753.7</v>
      </c>
      <c r="H107" s="1363">
        <f t="shared" si="27"/>
        <v>4298753.7</v>
      </c>
      <c r="I107" s="1364">
        <f t="shared" si="27"/>
        <v>4855376.6139341807</v>
      </c>
      <c r="J107" s="998">
        <f t="shared" si="27"/>
        <v>5139699.21</v>
      </c>
      <c r="K107" s="1363">
        <f t="shared" si="27"/>
        <v>5448081.1600000001</v>
      </c>
      <c r="L107" s="247"/>
      <c r="Q107" s="123"/>
    </row>
    <row r="108" spans="1:17" ht="11.25" customHeight="1" x14ac:dyDescent="0.25">
      <c r="A108" s="1402" t="str">
        <f t="shared" si="19"/>
        <v xml:space="preserve">Economic Development/Planning </v>
      </c>
      <c r="B108" s="1047"/>
      <c r="C108" s="2088">
        <v>5184000</v>
      </c>
      <c r="D108" s="2088">
        <v>5495040</v>
      </c>
      <c r="E108" s="2089">
        <v>5824742.4000000004</v>
      </c>
      <c r="F108" s="2090">
        <v>4507293.3499999996</v>
      </c>
      <c r="G108" s="2088">
        <v>4298753.7</v>
      </c>
      <c r="H108" s="2091">
        <v>4298753.7</v>
      </c>
      <c r="I108" s="2092">
        <v>4855376.6139341807</v>
      </c>
      <c r="J108" s="2088">
        <v>5139699.21</v>
      </c>
      <c r="K108" s="2091">
        <v>5448081.1600000001</v>
      </c>
      <c r="L108" s="247"/>
      <c r="Q108" s="123"/>
    </row>
    <row r="109" spans="1:17" ht="11.25" customHeight="1" x14ac:dyDescent="0.25">
      <c r="A109" s="1402" t="str">
        <f t="shared" si="19"/>
        <v xml:space="preserve">Town Planning/Building enforcement </v>
      </c>
      <c r="B109" s="1047"/>
      <c r="C109" s="2088"/>
      <c r="D109" s="2088"/>
      <c r="E109" s="2089"/>
      <c r="F109" s="2090"/>
      <c r="G109" s="2088"/>
      <c r="H109" s="2091"/>
      <c r="I109" s="2092"/>
      <c r="J109" s="2088"/>
      <c r="K109" s="2091"/>
      <c r="L109" s="247"/>
      <c r="Q109" s="123"/>
    </row>
    <row r="110" spans="1:17" ht="11.25" customHeight="1" x14ac:dyDescent="0.25">
      <c r="A110" s="1402" t="str">
        <f t="shared" si="19"/>
        <v>Licensing &amp; Regulation</v>
      </c>
      <c r="B110" s="1047"/>
      <c r="C110" s="2088"/>
      <c r="D110" s="2088"/>
      <c r="E110" s="2089"/>
      <c r="F110" s="2090"/>
      <c r="G110" s="2088"/>
      <c r="H110" s="2091"/>
      <c r="I110" s="2092"/>
      <c r="J110" s="2088"/>
      <c r="K110" s="2091"/>
      <c r="L110" s="247"/>
      <c r="Q110" s="123"/>
    </row>
    <row r="111" spans="1:17" ht="11.25" customHeight="1" x14ac:dyDescent="0.25">
      <c r="A111" s="1187" t="str">
        <f t="shared" si="19"/>
        <v>Road transport</v>
      </c>
      <c r="B111" s="1047"/>
      <c r="C111" s="998">
        <f t="shared" ref="C111:K111" si="28">SUM(C112:C116)</f>
        <v>17537333</v>
      </c>
      <c r="D111" s="998">
        <f t="shared" si="28"/>
        <v>18589572.98</v>
      </c>
      <c r="E111" s="1362">
        <f t="shared" si="28"/>
        <v>15657315.6</v>
      </c>
      <c r="F111" s="999">
        <f t="shared" si="28"/>
        <v>62354028.939999998</v>
      </c>
      <c r="G111" s="998">
        <f t="shared" si="28"/>
        <v>63937661.009999998</v>
      </c>
      <c r="H111" s="1363">
        <f t="shared" si="28"/>
        <v>63937661.009999998</v>
      </c>
      <c r="I111" s="1364">
        <f t="shared" si="28"/>
        <v>87765773.357605189</v>
      </c>
      <c r="J111" s="998">
        <f t="shared" si="28"/>
        <v>93378699.760461509</v>
      </c>
      <c r="K111" s="1363">
        <f t="shared" si="28"/>
        <v>99738681.7448892</v>
      </c>
      <c r="L111" s="247"/>
      <c r="Q111" s="123"/>
    </row>
    <row r="112" spans="1:17" ht="11.25" customHeight="1" x14ac:dyDescent="0.25">
      <c r="A112" s="1402" t="str">
        <f t="shared" si="19"/>
        <v>Roads</v>
      </c>
      <c r="B112" s="1047"/>
      <c r="C112" s="2088">
        <v>7154333</v>
      </c>
      <c r="D112" s="2088">
        <v>7583592.9800000004</v>
      </c>
      <c r="E112" s="2089">
        <v>3672105</v>
      </c>
      <c r="F112" s="2090">
        <v>54535175.469999999</v>
      </c>
      <c r="G112" s="2088">
        <v>57175175.469999999</v>
      </c>
      <c r="H112" s="2091">
        <v>57175175.469999999</v>
      </c>
      <c r="I112" s="2092">
        <v>60644536.547605194</v>
      </c>
      <c r="J112" s="2088">
        <v>64630188.740461513</v>
      </c>
      <c r="K112" s="2091">
        <v>69265260.064889193</v>
      </c>
      <c r="L112" s="247"/>
      <c r="Q112" s="123"/>
    </row>
    <row r="113" spans="1:17" ht="11.25" customHeight="1" x14ac:dyDescent="0.25">
      <c r="A113" s="1402" t="str">
        <f t="shared" si="19"/>
        <v>Public Buses</v>
      </c>
      <c r="B113" s="1047"/>
      <c r="C113" s="2088"/>
      <c r="D113" s="2088"/>
      <c r="E113" s="2089"/>
      <c r="F113" s="2090"/>
      <c r="G113" s="2088"/>
      <c r="H113" s="2091"/>
      <c r="I113" s="2092"/>
      <c r="J113" s="2088"/>
      <c r="K113" s="2091"/>
      <c r="L113" s="247"/>
      <c r="Q113" s="123"/>
    </row>
    <row r="114" spans="1:17" ht="11.25" customHeight="1" x14ac:dyDescent="0.25">
      <c r="A114" s="1402" t="str">
        <f t="shared" si="19"/>
        <v>Parking Garages</v>
      </c>
      <c r="B114" s="1047"/>
      <c r="C114" s="2088"/>
      <c r="D114" s="2088"/>
      <c r="E114" s="2089"/>
      <c r="F114" s="2090"/>
      <c r="G114" s="2088"/>
      <c r="H114" s="2091"/>
      <c r="I114" s="2092"/>
      <c r="J114" s="2088"/>
      <c r="K114" s="2091"/>
      <c r="L114" s="247"/>
      <c r="Q114" s="123"/>
    </row>
    <row r="115" spans="1:17" ht="11.25" customHeight="1" x14ac:dyDescent="0.25">
      <c r="A115" s="1402" t="str">
        <f t="shared" si="19"/>
        <v>Vehicle Licensing and Testing</v>
      </c>
      <c r="B115" s="1047"/>
      <c r="C115" s="2088">
        <v>10383000</v>
      </c>
      <c r="D115" s="2088">
        <v>11005980</v>
      </c>
      <c r="E115" s="2089">
        <v>11985210.6</v>
      </c>
      <c r="F115" s="2090">
        <v>7818853.4699999997</v>
      </c>
      <c r="G115" s="2088">
        <v>6762485.54</v>
      </c>
      <c r="H115" s="2091">
        <v>6762485.54</v>
      </c>
      <c r="I115" s="2092">
        <v>22940124.780000001</v>
      </c>
      <c r="J115" s="2088">
        <v>24316532.27</v>
      </c>
      <c r="K115" s="2091">
        <v>25775524.199999999</v>
      </c>
      <c r="L115" s="247"/>
      <c r="Q115" s="123"/>
    </row>
    <row r="116" spans="1:17" ht="11.25" customHeight="1" x14ac:dyDescent="0.25">
      <c r="A116" s="1402" t="str">
        <f t="shared" si="19"/>
        <v>Other</v>
      </c>
      <c r="B116" s="1047"/>
      <c r="C116" s="2088">
        <v>0</v>
      </c>
      <c r="D116" s="2088"/>
      <c r="E116" s="2089"/>
      <c r="F116" s="2090"/>
      <c r="G116" s="2088"/>
      <c r="H116" s="2091"/>
      <c r="I116" s="2092">
        <v>4181112.03</v>
      </c>
      <c r="J116" s="2088">
        <v>4431978.75</v>
      </c>
      <c r="K116" s="2091">
        <v>4697897.4800000004</v>
      </c>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2088"/>
      <c r="D118" s="2088"/>
      <c r="E118" s="2089"/>
      <c r="F118" s="2090"/>
      <c r="G118" s="2088"/>
      <c r="H118" s="2091"/>
      <c r="I118" s="2092"/>
      <c r="J118" s="2088"/>
      <c r="K118" s="2091"/>
      <c r="L118" s="247"/>
      <c r="Q118" s="123"/>
    </row>
    <row r="119" spans="1:17" ht="11.25" customHeight="1" x14ac:dyDescent="0.25">
      <c r="A119" s="1402" t="str">
        <f t="shared" si="19"/>
        <v>Biodiversity &amp; Landscape</v>
      </c>
      <c r="B119" s="1047"/>
      <c r="C119" s="2088"/>
      <c r="D119" s="2088"/>
      <c r="E119" s="2089"/>
      <c r="F119" s="2090"/>
      <c r="G119" s="2088"/>
      <c r="H119" s="2091"/>
      <c r="I119" s="2092"/>
      <c r="J119" s="2088"/>
      <c r="K119" s="2091"/>
      <c r="L119" s="247"/>
      <c r="Q119" s="123"/>
    </row>
    <row r="120" spans="1:17" ht="11.25" customHeight="1" x14ac:dyDescent="0.25">
      <c r="A120" s="1402" t="str">
        <f t="shared" si="19"/>
        <v>Other</v>
      </c>
      <c r="B120" s="1047"/>
      <c r="C120" s="2088"/>
      <c r="D120" s="2088"/>
      <c r="E120" s="2089"/>
      <c r="F120" s="2090"/>
      <c r="G120" s="2088"/>
      <c r="H120" s="2091"/>
      <c r="I120" s="2092"/>
      <c r="J120" s="2088"/>
      <c r="K120" s="2091"/>
      <c r="L120" s="247"/>
      <c r="Q120" s="123"/>
    </row>
    <row r="121" spans="1:17" ht="11.25" customHeight="1" x14ac:dyDescent="0.25">
      <c r="A121" s="1128" t="str">
        <f t="shared" si="19"/>
        <v>Trading services</v>
      </c>
      <c r="B121" s="1047"/>
      <c r="C121" s="1193">
        <f>C122+C125+C128+C132</f>
        <v>33117000</v>
      </c>
      <c r="D121" s="1193">
        <f t="shared" ref="D121:K121" si="30">D122+D125+D128+D132</f>
        <v>34004020</v>
      </c>
      <c r="E121" s="1359">
        <f t="shared" si="30"/>
        <v>36654948.710000001</v>
      </c>
      <c r="F121" s="1194">
        <f t="shared" si="30"/>
        <v>51603593.619999997</v>
      </c>
      <c r="G121" s="1193">
        <f t="shared" si="30"/>
        <v>46862376.540000007</v>
      </c>
      <c r="H121" s="1360">
        <f t="shared" si="30"/>
        <v>46862376.540000007</v>
      </c>
      <c r="I121" s="1361">
        <f t="shared" si="30"/>
        <v>38304684.346232004</v>
      </c>
      <c r="J121" s="1193">
        <f t="shared" si="30"/>
        <v>40602965.399999999</v>
      </c>
      <c r="K121" s="1360">
        <f t="shared" si="30"/>
        <v>43039143.329999998</v>
      </c>
      <c r="L121" s="247"/>
      <c r="Q121" s="123"/>
    </row>
    <row r="122" spans="1:17" ht="11.25" customHeight="1" x14ac:dyDescent="0.25">
      <c r="A122" s="1187" t="str">
        <f t="shared" si="19"/>
        <v>Electricity</v>
      </c>
      <c r="B122" s="1047"/>
      <c r="C122" s="998">
        <f t="shared" ref="C122:K122" si="31">SUM(C123:C124)</f>
        <v>27955000</v>
      </c>
      <c r="D122" s="998">
        <f t="shared" si="31"/>
        <v>28332300</v>
      </c>
      <c r="E122" s="1362">
        <f t="shared" si="31"/>
        <v>31653987.710000001</v>
      </c>
      <c r="F122" s="999">
        <f t="shared" si="31"/>
        <v>27220941.140000001</v>
      </c>
      <c r="G122" s="998">
        <f t="shared" si="31"/>
        <v>27220941.140000001</v>
      </c>
      <c r="H122" s="1363">
        <f t="shared" si="31"/>
        <v>27220941.140000001</v>
      </c>
      <c r="I122" s="1364">
        <f t="shared" si="31"/>
        <v>29779709.607160002</v>
      </c>
      <c r="J122" s="998">
        <f t="shared" si="31"/>
        <v>31566492.18</v>
      </c>
      <c r="K122" s="1363">
        <f t="shared" si="31"/>
        <v>33460481.710000001</v>
      </c>
      <c r="L122" s="247"/>
      <c r="Q122" s="123"/>
    </row>
    <row r="123" spans="1:17" ht="11.25" customHeight="1" x14ac:dyDescent="0.25">
      <c r="A123" s="1402" t="str">
        <f t="shared" si="19"/>
        <v>Electricity Distribution</v>
      </c>
      <c r="B123" s="1047"/>
      <c r="C123" s="2088">
        <v>27955000</v>
      </c>
      <c r="D123" s="2088">
        <v>28332300</v>
      </c>
      <c r="E123" s="2089">
        <v>31653987.710000001</v>
      </c>
      <c r="F123" s="2090">
        <v>27220941.140000001</v>
      </c>
      <c r="G123" s="2090">
        <v>27220941.140000001</v>
      </c>
      <c r="H123" s="2090">
        <v>27220941.140000001</v>
      </c>
      <c r="I123" s="2092">
        <v>29779709.607160002</v>
      </c>
      <c r="J123" s="2088">
        <v>31566492.18</v>
      </c>
      <c r="K123" s="2091">
        <v>33460481.710000001</v>
      </c>
      <c r="L123" s="247"/>
      <c r="Q123" s="123"/>
    </row>
    <row r="124" spans="1:17" ht="11.25" customHeight="1" x14ac:dyDescent="0.25">
      <c r="A124" s="1402" t="str">
        <f t="shared" si="19"/>
        <v>Electricity Generation</v>
      </c>
      <c r="B124" s="1047"/>
      <c r="C124" s="2088"/>
      <c r="D124" s="2088"/>
      <c r="E124" s="2089"/>
      <c r="F124" s="2090"/>
      <c r="G124" s="2088"/>
      <c r="H124" s="2091"/>
      <c r="I124" s="2092"/>
      <c r="J124" s="2088"/>
      <c r="K124" s="2091"/>
      <c r="L124" s="247"/>
      <c r="Q124" s="123"/>
    </row>
    <row r="125" spans="1:17" ht="11.25" customHeight="1" x14ac:dyDescent="0.25">
      <c r="A125" s="1187" t="str">
        <f t="shared" si="19"/>
        <v>Water</v>
      </c>
      <c r="B125" s="1047"/>
      <c r="C125" s="998">
        <f t="shared" ref="C125:K125" si="32">SUM(C126:C127)</f>
        <v>0</v>
      </c>
      <c r="D125" s="998">
        <f t="shared" si="32"/>
        <v>0</v>
      </c>
      <c r="E125" s="1362">
        <f t="shared" si="32"/>
        <v>0</v>
      </c>
      <c r="F125" s="999">
        <f t="shared" si="32"/>
        <v>0</v>
      </c>
      <c r="G125" s="998">
        <f t="shared" si="32"/>
        <v>0</v>
      </c>
      <c r="H125" s="1363">
        <f t="shared" si="32"/>
        <v>0</v>
      </c>
      <c r="I125" s="1364">
        <f t="shared" si="32"/>
        <v>0</v>
      </c>
      <c r="J125" s="998">
        <f t="shared" si="32"/>
        <v>0</v>
      </c>
      <c r="K125" s="1363">
        <f t="shared" si="32"/>
        <v>0</v>
      </c>
      <c r="L125" s="247"/>
      <c r="Q125" s="123"/>
    </row>
    <row r="126" spans="1:17" ht="11.25" customHeight="1" x14ac:dyDescent="0.25">
      <c r="A126" s="1402" t="str">
        <f t="shared" si="19"/>
        <v>Water Distribution</v>
      </c>
      <c r="B126" s="1047"/>
      <c r="C126" s="2088"/>
      <c r="D126" s="2088"/>
      <c r="E126" s="2089"/>
      <c r="F126" s="2090"/>
      <c r="G126" s="2088"/>
      <c r="H126" s="2091"/>
      <c r="I126" s="2092"/>
      <c r="J126" s="2088"/>
      <c r="K126" s="2091"/>
      <c r="L126" s="247"/>
      <c r="Q126" s="123"/>
    </row>
    <row r="127" spans="1:17" ht="11.25" customHeight="1" x14ac:dyDescent="0.25">
      <c r="A127" s="1402" t="str">
        <f t="shared" si="19"/>
        <v>Water Storage</v>
      </c>
      <c r="B127" s="1047"/>
      <c r="C127" s="2088"/>
      <c r="D127" s="2088"/>
      <c r="E127" s="2089"/>
      <c r="F127" s="2090"/>
      <c r="G127" s="2088"/>
      <c r="H127" s="2091"/>
      <c r="I127" s="2092"/>
      <c r="J127" s="2088"/>
      <c r="K127" s="2091"/>
      <c r="L127" s="247"/>
      <c r="Q127" s="123"/>
    </row>
    <row r="128" spans="1:17" ht="11.25" customHeight="1" x14ac:dyDescent="0.25">
      <c r="A128" s="1187" t="str">
        <f t="shared" si="19"/>
        <v>Waste water management</v>
      </c>
      <c r="B128" s="1047"/>
      <c r="C128" s="998">
        <f t="shared" ref="C128:K128" si="33">SUM(C129:C131)</f>
        <v>0</v>
      </c>
      <c r="D128" s="998">
        <f t="shared" si="33"/>
        <v>0</v>
      </c>
      <c r="E128" s="1362">
        <f t="shared" si="33"/>
        <v>0</v>
      </c>
      <c r="F128" s="999">
        <f t="shared" si="33"/>
        <v>17606914.690000001</v>
      </c>
      <c r="G128" s="998">
        <f t="shared" si="33"/>
        <v>12917898.130000001</v>
      </c>
      <c r="H128" s="1363">
        <f t="shared" si="33"/>
        <v>12917898.130000001</v>
      </c>
      <c r="I128" s="1364">
        <f t="shared" si="33"/>
        <v>0</v>
      </c>
      <c r="J128" s="998">
        <f t="shared" si="33"/>
        <v>0</v>
      </c>
      <c r="K128" s="1363">
        <f t="shared" si="33"/>
        <v>0</v>
      </c>
      <c r="L128" s="247"/>
      <c r="Q128" s="123"/>
    </row>
    <row r="129" spans="1:17" ht="11.25" customHeight="1" x14ac:dyDescent="0.25">
      <c r="A129" s="1402" t="str">
        <f t="shared" si="19"/>
        <v>Sewerage</v>
      </c>
      <c r="B129" s="1047"/>
      <c r="C129" s="2088"/>
      <c r="D129" s="2088"/>
      <c r="E129" s="2089"/>
      <c r="F129" s="2090"/>
      <c r="G129" s="2088"/>
      <c r="H129" s="2091"/>
      <c r="I129" s="2092"/>
      <c r="J129" s="2088"/>
      <c r="K129" s="2091"/>
      <c r="L129" s="247"/>
      <c r="Q129" s="123"/>
    </row>
    <row r="130" spans="1:17" ht="11.25" customHeight="1" x14ac:dyDescent="0.25">
      <c r="A130" s="1402" t="str">
        <f t="shared" si="19"/>
        <v>Storm Water Management</v>
      </c>
      <c r="B130" s="1047"/>
      <c r="C130" s="2088"/>
      <c r="D130" s="2088"/>
      <c r="E130" s="2089"/>
      <c r="F130" s="2090">
        <v>17606914.690000001</v>
      </c>
      <c r="G130" s="2088">
        <v>12917898.130000001</v>
      </c>
      <c r="H130" s="2091">
        <v>12917898.130000001</v>
      </c>
      <c r="I130" s="2092"/>
      <c r="J130" s="2088"/>
      <c r="K130" s="2091"/>
      <c r="L130" s="247"/>
      <c r="Q130" s="123"/>
    </row>
    <row r="131" spans="1:17" ht="11.25" customHeight="1" x14ac:dyDescent="0.25">
      <c r="A131" s="1402" t="str">
        <f t="shared" si="19"/>
        <v>Public Toilets</v>
      </c>
      <c r="B131" s="1047"/>
      <c r="C131" s="2088"/>
      <c r="D131" s="2088"/>
      <c r="E131" s="2089"/>
      <c r="F131" s="2090"/>
      <c r="G131" s="2088"/>
      <c r="H131" s="2091"/>
      <c r="I131" s="2092"/>
      <c r="J131" s="2088"/>
      <c r="K131" s="2091"/>
      <c r="L131" s="247"/>
      <c r="Q131" s="123"/>
    </row>
    <row r="132" spans="1:17" ht="11.25" customHeight="1" x14ac:dyDescent="0.25">
      <c r="A132" s="1187" t="str">
        <f t="shared" si="19"/>
        <v>Waste management</v>
      </c>
      <c r="B132" s="1047"/>
      <c r="C132" s="998">
        <f t="shared" ref="C132:K132" si="34">SUM(C133)</f>
        <v>5162000</v>
      </c>
      <c r="D132" s="998">
        <f t="shared" si="34"/>
        <v>5671720</v>
      </c>
      <c r="E132" s="1362">
        <f t="shared" si="34"/>
        <v>5000961</v>
      </c>
      <c r="F132" s="999">
        <f t="shared" si="34"/>
        <v>6775737.79</v>
      </c>
      <c r="G132" s="998">
        <f t="shared" si="34"/>
        <v>6723537.2699999996</v>
      </c>
      <c r="H132" s="1363">
        <f t="shared" si="34"/>
        <v>6723537.2699999996</v>
      </c>
      <c r="I132" s="1364">
        <f t="shared" si="34"/>
        <v>8524974.7390720025</v>
      </c>
      <c r="J132" s="998">
        <f t="shared" si="34"/>
        <v>9036473.2200000007</v>
      </c>
      <c r="K132" s="1363">
        <f t="shared" si="34"/>
        <v>9578661.6199999992</v>
      </c>
      <c r="L132" s="247"/>
      <c r="Q132" s="123"/>
    </row>
    <row r="133" spans="1:17" ht="11.25" customHeight="1" x14ac:dyDescent="0.25">
      <c r="A133" s="1402" t="str">
        <f t="shared" si="19"/>
        <v>Solid Waste</v>
      </c>
      <c r="B133" s="1045"/>
      <c r="C133" s="2088">
        <v>5162000</v>
      </c>
      <c r="D133" s="2088">
        <v>5671720</v>
      </c>
      <c r="E133" s="2089">
        <v>5000961</v>
      </c>
      <c r="F133" s="2090">
        <v>6775737.79</v>
      </c>
      <c r="G133" s="2088">
        <v>6723537.2699999996</v>
      </c>
      <c r="H133" s="2091">
        <v>6723537.2699999996</v>
      </c>
      <c r="I133" s="2092">
        <v>8524974.7390720025</v>
      </c>
      <c r="J133" s="2088">
        <v>9036473.2200000007</v>
      </c>
      <c r="K133" s="2091">
        <v>9578661.6199999992</v>
      </c>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0</v>
      </c>
      <c r="H134" s="1360">
        <f t="shared" si="35"/>
        <v>0</v>
      </c>
      <c r="I134" s="1361">
        <f t="shared" si="35"/>
        <v>0</v>
      </c>
      <c r="J134" s="1193">
        <f t="shared" si="35"/>
        <v>0</v>
      </c>
      <c r="K134" s="1360">
        <f t="shared" si="35"/>
        <v>0</v>
      </c>
      <c r="L134" s="247"/>
    </row>
    <row r="135" spans="1:17" ht="11.25" customHeight="1" x14ac:dyDescent="0.25">
      <c r="A135" s="1187" t="str">
        <f t="shared" si="19"/>
        <v>Air Transport</v>
      </c>
      <c r="B135" s="1045"/>
      <c r="C135" s="2088"/>
      <c r="D135" s="2088"/>
      <c r="E135" s="2089"/>
      <c r="F135" s="2090"/>
      <c r="G135" s="2088"/>
      <c r="H135" s="2091"/>
      <c r="I135" s="2092"/>
      <c r="J135" s="2088"/>
      <c r="K135" s="2091"/>
      <c r="L135" s="247"/>
    </row>
    <row r="136" spans="1:17" ht="11.25" customHeight="1" x14ac:dyDescent="0.25">
      <c r="A136" s="1187" t="str">
        <f t="shared" si="19"/>
        <v>Abattoirs</v>
      </c>
      <c r="B136" s="1045"/>
      <c r="C136" s="2088"/>
      <c r="D136" s="2088"/>
      <c r="E136" s="2089"/>
      <c r="F136" s="2090"/>
      <c r="G136" s="2088"/>
      <c r="H136" s="2091"/>
      <c r="I136" s="2092"/>
      <c r="J136" s="2088"/>
      <c r="K136" s="2091"/>
      <c r="L136" s="247"/>
    </row>
    <row r="137" spans="1:17" ht="11.25" customHeight="1" x14ac:dyDescent="0.25">
      <c r="A137" s="1187" t="str">
        <f t="shared" si="19"/>
        <v>Tourism</v>
      </c>
      <c r="B137" s="1045"/>
      <c r="C137" s="2088"/>
      <c r="D137" s="2088"/>
      <c r="E137" s="2089"/>
      <c r="F137" s="2090"/>
      <c r="G137" s="2088"/>
      <c r="H137" s="2091"/>
      <c r="I137" s="2092"/>
      <c r="J137" s="2088"/>
      <c r="K137" s="2091"/>
      <c r="L137" s="247"/>
    </row>
    <row r="138" spans="1:17" ht="11.25" customHeight="1" x14ac:dyDescent="0.25">
      <c r="A138" s="1187" t="str">
        <f t="shared" si="19"/>
        <v>Forestry</v>
      </c>
      <c r="B138" s="1045"/>
      <c r="C138" s="2088"/>
      <c r="D138" s="2088"/>
      <c r="E138" s="2089"/>
      <c r="F138" s="2090"/>
      <c r="G138" s="2088"/>
      <c r="H138" s="2091"/>
      <c r="I138" s="2092"/>
      <c r="J138" s="2088"/>
      <c r="K138" s="2091"/>
      <c r="L138" s="247"/>
    </row>
    <row r="139" spans="1:17" ht="11.25" customHeight="1" x14ac:dyDescent="0.25">
      <c r="A139" s="1187" t="str">
        <f>A70</f>
        <v>Markets</v>
      </c>
      <c r="B139" s="1045"/>
      <c r="C139" s="2088"/>
      <c r="D139" s="2088"/>
      <c r="E139" s="2089"/>
      <c r="F139" s="2090"/>
      <c r="G139" s="2088"/>
      <c r="H139" s="2091"/>
      <c r="I139" s="2092"/>
      <c r="J139" s="2088"/>
      <c r="K139" s="2091"/>
      <c r="L139" s="247"/>
    </row>
    <row r="140" spans="1:17" ht="11.25" customHeight="1" x14ac:dyDescent="0.25">
      <c r="A140" s="1046" t="str">
        <f>"Total "&amp;A73</f>
        <v>Total Expenditure - Standard</v>
      </c>
      <c r="B140" s="1045">
        <v>3</v>
      </c>
      <c r="C140" s="145">
        <f>C74+C84+C106+C121+C134</f>
        <v>153405509.93077999</v>
      </c>
      <c r="D140" s="145">
        <f>D74+D84+D106+D121+D134</f>
        <v>168264595.41113499</v>
      </c>
      <c r="E140" s="1369">
        <f t="shared" ref="E140:J140" si="36">E74+E84+E106+E121+E134</f>
        <v>178873710.00079998</v>
      </c>
      <c r="F140" s="148">
        <f t="shared" si="36"/>
        <v>305416992.47999996</v>
      </c>
      <c r="G140" s="145">
        <f t="shared" si="36"/>
        <v>298835365.99000001</v>
      </c>
      <c r="H140" s="1370">
        <f t="shared" si="36"/>
        <v>298835365.99000001</v>
      </c>
      <c r="I140" s="1371">
        <f t="shared" si="36"/>
        <v>314026865.41372204</v>
      </c>
      <c r="J140" s="145">
        <f t="shared" si="36"/>
        <v>331253377.34046143</v>
      </c>
      <c r="K140" s="1370">
        <f>K74+K84+K106+K121+K134</f>
        <v>352012139.98488921</v>
      </c>
      <c r="L140" s="247"/>
      <c r="Q140" s="158"/>
    </row>
    <row r="141" spans="1:17" x14ac:dyDescent="0.25">
      <c r="A141" s="1048" t="str">
        <f>result</f>
        <v>Surplus/(Deficit) for the year</v>
      </c>
      <c r="B141" s="1049"/>
      <c r="C141" s="161">
        <f t="shared" ref="C141:K141" si="37">C71-C140</f>
        <v>25483667.039420038</v>
      </c>
      <c r="D141" s="161">
        <f t="shared" si="37"/>
        <v>12280912.588864982</v>
      </c>
      <c r="E141" s="162">
        <f t="shared" si="37"/>
        <v>39856502.999200016</v>
      </c>
      <c r="F141" s="163">
        <f t="shared" si="37"/>
        <v>-48242641.789999962</v>
      </c>
      <c r="G141" s="161">
        <f t="shared" si="37"/>
        <v>-39693504.389999986</v>
      </c>
      <c r="H141" s="160">
        <f t="shared" si="37"/>
        <v>-39693504.389999986</v>
      </c>
      <c r="I141" s="164">
        <f t="shared" si="37"/>
        <v>-52257999.983722031</v>
      </c>
      <c r="J141" s="161">
        <f t="shared" si="37"/>
        <v>-52151840.000461459</v>
      </c>
      <c r="K141" s="162">
        <f t="shared" si="37"/>
        <v>-55529410.404889226</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1712</v>
      </c>
      <c r="B144" s="1051"/>
      <c r="C144" s="1053"/>
      <c r="D144" s="1053"/>
      <c r="E144" s="1054"/>
      <c r="F144" s="1054"/>
      <c r="G144" s="1054"/>
      <c r="H144" s="1054"/>
      <c r="I144" s="1054"/>
      <c r="J144" s="1054"/>
      <c r="K144" s="1054"/>
    </row>
    <row r="145" spans="1:11" ht="11.25" customHeight="1" x14ac:dyDescent="0.25">
      <c r="A145" s="1052" t="s">
        <v>1713</v>
      </c>
      <c r="B145" s="1051"/>
      <c r="C145" s="1053"/>
      <c r="D145" s="1053"/>
      <c r="E145" s="1054"/>
      <c r="F145" s="1054"/>
      <c r="G145" s="1054"/>
      <c r="H145" s="1054"/>
      <c r="I145" s="1054"/>
      <c r="J145" s="1054"/>
      <c r="K145" s="1054"/>
    </row>
    <row r="146" spans="1:11" ht="22.5" customHeight="1" x14ac:dyDescent="0.25">
      <c r="A146" s="2657" t="s">
        <v>140</v>
      </c>
      <c r="B146" s="2657"/>
      <c r="C146" s="2657"/>
      <c r="D146" s="2657"/>
      <c r="E146" s="2657"/>
      <c r="F146" s="2657"/>
      <c r="G146" s="2657"/>
      <c r="H146" s="2657"/>
      <c r="I146" s="2657"/>
      <c r="J146" s="2657"/>
      <c r="K146" s="2657"/>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2.0003318786621094E-4</v>
      </c>
      <c r="D149" s="167">
        <f>D71-'A4-FinPerf RE'!D60</f>
        <v>0</v>
      </c>
      <c r="E149" s="890">
        <f>E71-'A4-FinPerf RE'!E60</f>
        <v>0</v>
      </c>
      <c r="F149" s="167">
        <f>F71-'A4-FinPerf RE'!F60</f>
        <v>-2.0000338554382324E-4</v>
      </c>
      <c r="G149" s="167">
        <f>G71-'A4-FinPerf RE'!G60</f>
        <v>0</v>
      </c>
      <c r="H149" s="167">
        <f>H71-'A4-FinPerf RE'!H60</f>
        <v>0</v>
      </c>
      <c r="I149" s="167">
        <f>I71-'A4-FinPerf RE'!J60</f>
        <v>6.6679984331130981E-2</v>
      </c>
      <c r="J149" s="167">
        <f>J71-'A4-FinPerf RE'!K60</f>
        <v>-3.4919202327728271E-2</v>
      </c>
      <c r="K149" s="167">
        <f>K71-'A4-FinPerf RE'!L60</f>
        <v>-0.47781437635421753</v>
      </c>
    </row>
    <row r="150" spans="1:11" ht="11.25" customHeight="1" x14ac:dyDescent="0.25">
      <c r="A150" s="166" t="s">
        <v>829</v>
      </c>
      <c r="B150" s="121"/>
      <c r="C150" s="167">
        <f>C140-'A4-FinPerf RE'!C36</f>
        <v>7.7998638153076172E-4</v>
      </c>
      <c r="D150" s="167">
        <f>D140-'A4-FinPerf RE'!D36</f>
        <v>0.4111349880695343</v>
      </c>
      <c r="E150" s="890">
        <f>E140-'A4-FinPerf RE'!E36</f>
        <v>7.9998373985290527E-4</v>
      </c>
      <c r="F150" s="167">
        <f>F140-'A4-FinPerf RE'!F36</f>
        <v>-0.2000001072883606</v>
      </c>
      <c r="G150" s="167">
        <f>G140-'A4-FinPerf RE'!G36</f>
        <v>0</v>
      </c>
      <c r="H150" s="167">
        <f>H140-'A4-FinPerf RE'!H36</f>
        <v>0</v>
      </c>
      <c r="I150" s="167">
        <f>I140-'A4-FinPerf RE'!J36</f>
        <v>3.3620595932006836E-3</v>
      </c>
      <c r="J150" s="167">
        <f>J140-'A4-FinPerf RE'!K36</f>
        <v>-0.87062019109725952</v>
      </c>
      <c r="K150" s="167">
        <f>K140-'A4-FinPerf RE'!L36</f>
        <v>2.5627017021179199E-3</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E8E4CAD4-BCB8-4CBF-B6C7-F505E0E8D8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75975E5-7A6A-4A66-9680-3408673BC19C}">
  <ds:schemaRefs>
    <ds:schemaRef ds:uri="http://www.w3.org/XML/1998/namespace"/>
    <ds:schemaRef ds:uri="http://schemas.microsoft.com/office/2006/documentManagement/types"/>
    <ds:schemaRef ds:uri="http://purl.org/dc/terms/"/>
    <ds:schemaRef ds:uri="http://purl.org/dc/elements/1.1/"/>
    <ds:schemaRef ds:uri="http://purl.org/dc/dcmitype/"/>
    <ds:schemaRef ds:uri="http://schemas.openxmlformats.org/package/2006/metadata/core-properties"/>
    <ds:schemaRef ds:uri="http://schemas.microsoft.com/sharepoint/v3"/>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Khabo Ramosibi</cp:lastModifiedBy>
  <cp:lastPrinted>2016-03-31T18:51:32Z</cp:lastPrinted>
  <dcterms:created xsi:type="dcterms:W3CDTF">2004-04-07T16:19:08Z</dcterms:created>
  <dcterms:modified xsi:type="dcterms:W3CDTF">2016-04-01T14:02:25Z</dcterms:modified>
</cp:coreProperties>
</file>