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R:\2021-2022\Manager Revenue\Proposed tarrifs 2023\"/>
    </mc:Choice>
  </mc:AlternateContent>
  <xr:revisionPtr revIDLastSave="0" documentId="8_{F7AF0DCF-0D69-4F94-8CFE-94CB585D753A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2022-2023" sheetId="6" r:id="rId1"/>
    <sheet name="Application" sheetId="7" r:id="rId2"/>
  </sheets>
  <definedNames>
    <definedName name="_xlnm.Print_Area" localSheetId="1">Application!$A$1:$H$79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91" i="6" l="1"/>
  <c r="I85" i="6"/>
  <c r="I82" i="6"/>
  <c r="I79" i="6"/>
  <c r="I76" i="6"/>
  <c r="I73" i="6"/>
  <c r="I72" i="6"/>
  <c r="I70" i="6" l="1"/>
  <c r="I67" i="6"/>
  <c r="I66" i="6"/>
  <c r="I61" i="6"/>
  <c r="I62" i="6"/>
  <c r="I63" i="6"/>
  <c r="I60" i="6"/>
  <c r="I55" i="6"/>
  <c r="I56" i="6"/>
  <c r="I57" i="6"/>
  <c r="I48" i="6"/>
  <c r="I49" i="6"/>
  <c r="I50" i="6"/>
  <c r="I54" i="6"/>
  <c r="I47" i="6"/>
  <c r="J144" i="6"/>
  <c r="J143" i="6"/>
  <c r="J142" i="6"/>
  <c r="J140" i="6"/>
  <c r="J139" i="6"/>
  <c r="J138" i="6"/>
  <c r="J137" i="6"/>
  <c r="J136" i="6"/>
  <c r="J134" i="6"/>
  <c r="J133" i="6"/>
  <c r="J132" i="6"/>
  <c r="H36" i="7"/>
  <c r="H13" i="7"/>
  <c r="H6" i="7"/>
  <c r="I24" i="6"/>
  <c r="H76" i="6" l="1"/>
  <c r="H79" i="6"/>
  <c r="H82" i="6"/>
  <c r="F50" i="7" l="1"/>
  <c r="H50" i="7" s="1"/>
  <c r="F46" i="7"/>
  <c r="H46" i="7" s="1"/>
  <c r="F42" i="6" l="1"/>
  <c r="F41" i="6"/>
  <c r="H41" i="6" s="1"/>
  <c r="F40" i="6"/>
  <c r="H40" i="6" s="1"/>
  <c r="F39" i="6"/>
  <c r="H39" i="6" s="1"/>
  <c r="F36" i="6"/>
  <c r="F35" i="6"/>
  <c r="F34" i="6"/>
  <c r="F33" i="6"/>
  <c r="F32" i="6"/>
  <c r="F29" i="6"/>
  <c r="F28" i="6"/>
  <c r="F27" i="6"/>
  <c r="F26" i="6"/>
  <c r="F25" i="6"/>
  <c r="F24" i="6"/>
  <c r="F22" i="6"/>
  <c r="F21" i="6"/>
  <c r="F20" i="6"/>
  <c r="F18" i="6"/>
  <c r="F17" i="6"/>
  <c r="F16" i="6"/>
  <c r="F15" i="6"/>
  <c r="F13" i="6"/>
  <c r="G13" i="6" s="1"/>
  <c r="H13" i="6" s="1"/>
  <c r="F12" i="6"/>
  <c r="G12" i="6" s="1"/>
  <c r="H12" i="6" s="1"/>
  <c r="F10" i="6"/>
  <c r="G10" i="6" s="1"/>
  <c r="H10" i="6" s="1"/>
  <c r="F9" i="6"/>
  <c r="G144" i="6"/>
  <c r="G143" i="6"/>
  <c r="G142" i="6"/>
  <c r="G140" i="6"/>
  <c r="G139" i="6"/>
  <c r="G138" i="6"/>
  <c r="G137" i="6"/>
  <c r="G136" i="6"/>
  <c r="G134" i="6"/>
  <c r="G133" i="6"/>
  <c r="G132" i="6"/>
  <c r="G128" i="6"/>
  <c r="G127" i="6"/>
  <c r="G124" i="6"/>
  <c r="G122" i="6"/>
  <c r="G121" i="6"/>
  <c r="G119" i="6"/>
  <c r="G117" i="6"/>
  <c r="I97" i="6"/>
  <c r="G110" i="6"/>
  <c r="H110" i="6" s="1"/>
  <c r="G109" i="6"/>
  <c r="H109" i="6" s="1"/>
  <c r="G108" i="6"/>
  <c r="H108" i="6" s="1"/>
  <c r="G102" i="6"/>
  <c r="J102" i="6" s="1"/>
  <c r="G103" i="6"/>
  <c r="G101" i="6"/>
  <c r="F91" i="6"/>
  <c r="H91" i="6" s="1"/>
  <c r="F88" i="6"/>
  <c r="H88" i="6" s="1"/>
  <c r="F85" i="6"/>
  <c r="F73" i="6"/>
  <c r="H73" i="6" s="1"/>
  <c r="F72" i="6"/>
  <c r="H72" i="6" s="1"/>
  <c r="F70" i="6"/>
  <c r="H70" i="6" s="1"/>
  <c r="F67" i="6"/>
  <c r="H67" i="6" s="1"/>
  <c r="F66" i="6"/>
  <c r="H66" i="6" s="1"/>
  <c r="F63" i="6"/>
  <c r="H63" i="6" s="1"/>
  <c r="F62" i="6"/>
  <c r="H62" i="6" s="1"/>
  <c r="F61" i="6"/>
  <c r="H61" i="6" s="1"/>
  <c r="F60" i="6"/>
  <c r="H60" i="6" s="1"/>
  <c r="F57" i="6"/>
  <c r="H57" i="6" s="1"/>
  <c r="F56" i="6"/>
  <c r="H56" i="6" s="1"/>
  <c r="F55" i="6"/>
  <c r="H55" i="6" s="1"/>
  <c r="F54" i="6"/>
  <c r="H54" i="6" s="1"/>
  <c r="F50" i="6"/>
  <c r="H50" i="6" s="1"/>
  <c r="F49" i="6"/>
  <c r="H49" i="6" s="1"/>
  <c r="F48" i="6"/>
  <c r="F47" i="6"/>
  <c r="H47" i="6" s="1"/>
  <c r="K97" i="6" l="1"/>
  <c r="H101" i="6"/>
  <c r="I101" i="6"/>
  <c r="J101" i="6" s="1"/>
  <c r="I127" i="6"/>
  <c r="J127" i="6" s="1"/>
  <c r="H127" i="6"/>
  <c r="I128" i="6"/>
  <c r="J128" i="6" s="1"/>
  <c r="H128" i="6"/>
  <c r="I140" i="6"/>
  <c r="H140" i="6"/>
  <c r="I142" i="6"/>
  <c r="H142" i="6"/>
  <c r="F42" i="7"/>
  <c r="H42" i="7" s="1"/>
  <c r="F43" i="7"/>
  <c r="H43" i="7" s="1"/>
  <c r="I139" i="6"/>
  <c r="H139" i="6"/>
  <c r="F63" i="7"/>
  <c r="H63" i="7" s="1"/>
  <c r="I132" i="6"/>
  <c r="H132" i="6"/>
  <c r="F69" i="7"/>
  <c r="H69" i="7" s="1"/>
  <c r="I117" i="6"/>
  <c r="J117" i="6" s="1"/>
  <c r="H117" i="6"/>
  <c r="I133" i="6"/>
  <c r="H133" i="6"/>
  <c r="I143" i="6"/>
  <c r="H143" i="6"/>
  <c r="F64" i="7"/>
  <c r="H64" i="7" s="1"/>
  <c r="F31" i="7"/>
  <c r="H31" i="7" s="1"/>
  <c r="I119" i="6"/>
  <c r="J119" i="6" s="1"/>
  <c r="H119" i="6"/>
  <c r="I134" i="6"/>
  <c r="H134" i="6"/>
  <c r="I144" i="6"/>
  <c r="H144" i="6"/>
  <c r="F65" i="7"/>
  <c r="H65" i="7" s="1"/>
  <c r="F32" i="7"/>
  <c r="H32" i="7" s="1"/>
  <c r="I103" i="6"/>
  <c r="H103" i="6"/>
  <c r="I121" i="6"/>
  <c r="J121" i="6" s="1"/>
  <c r="H121" i="6"/>
  <c r="I136" i="6"/>
  <c r="H136" i="6"/>
  <c r="F66" i="7"/>
  <c r="H66" i="7" s="1"/>
  <c r="I124" i="6"/>
  <c r="J124" i="6" s="1"/>
  <c r="H124" i="6"/>
  <c r="I138" i="6"/>
  <c r="H138" i="6"/>
  <c r="F39" i="7"/>
  <c r="H39" i="7" s="1"/>
  <c r="F60" i="7"/>
  <c r="H60" i="7" s="1"/>
  <c r="H102" i="6"/>
  <c r="I122" i="6"/>
  <c r="J122" i="6" s="1"/>
  <c r="H122" i="6"/>
  <c r="I137" i="6"/>
  <c r="H137" i="6"/>
  <c r="G25" i="6"/>
  <c r="H25" i="6" s="1"/>
  <c r="I25" i="6" s="1"/>
  <c r="I108" i="6"/>
  <c r="J108" i="6" s="1"/>
  <c r="K108" i="6" s="1"/>
  <c r="G22" i="6"/>
  <c r="H22" i="6" s="1"/>
  <c r="I22" i="6" s="1"/>
  <c r="G33" i="6"/>
  <c r="H33" i="6" s="1"/>
  <c r="I33" i="6" s="1"/>
  <c r="I109" i="6"/>
  <c r="J109" i="6" s="1"/>
  <c r="K109" i="6" s="1"/>
  <c r="G34" i="6"/>
  <c r="H34" i="6" s="1"/>
  <c r="I34" i="6" s="1"/>
  <c r="H85" i="6"/>
  <c r="G16" i="6"/>
  <c r="H16" i="6" s="1"/>
  <c r="I16" i="6" s="1"/>
  <c r="G26" i="6"/>
  <c r="H26" i="6" s="1"/>
  <c r="I26" i="6" s="1"/>
  <c r="G36" i="6"/>
  <c r="H36" i="6" s="1"/>
  <c r="I36" i="6" s="1"/>
  <c r="I110" i="6"/>
  <c r="J110" i="6" s="1"/>
  <c r="K110" i="6" s="1"/>
  <c r="G35" i="6"/>
  <c r="H35" i="6" s="1"/>
  <c r="I35" i="6" s="1"/>
  <c r="G17" i="6"/>
  <c r="H17" i="6" s="1"/>
  <c r="I17" i="6" s="1"/>
  <c r="G27" i="6"/>
  <c r="H27" i="6" s="1"/>
  <c r="I27" i="6" s="1"/>
  <c r="G18" i="6"/>
  <c r="H18" i="6" s="1"/>
  <c r="I18" i="6" s="1"/>
  <c r="G28" i="6"/>
  <c r="H28" i="6" s="1"/>
  <c r="I28" i="6" s="1"/>
  <c r="G9" i="6"/>
  <c r="H9" i="6" s="1"/>
  <c r="I9" i="6" s="1"/>
  <c r="J10" i="6" s="1"/>
  <c r="G20" i="6"/>
  <c r="H20" i="6" s="1"/>
  <c r="I20" i="6" s="1"/>
  <c r="G29" i="6"/>
  <c r="H29" i="6" s="1"/>
  <c r="I29" i="6" s="1"/>
  <c r="H48" i="6"/>
  <c r="G15" i="6"/>
  <c r="H15" i="6" s="1"/>
  <c r="I15" i="6" s="1"/>
  <c r="G21" i="6"/>
  <c r="H21" i="6" s="1"/>
  <c r="I21" i="6" s="1"/>
  <c r="G32" i="6"/>
  <c r="H32" i="6" s="1"/>
  <c r="I32" i="6" s="1"/>
  <c r="G42" i="6"/>
  <c r="H42" i="6" s="1"/>
  <c r="I42" i="6" s="1"/>
  <c r="F5" i="7"/>
  <c r="H5" i="7" s="1"/>
  <c r="F12" i="7"/>
  <c r="H12" i="7" s="1"/>
  <c r="F25" i="7"/>
  <c r="H25" i="7" s="1"/>
  <c r="F20" i="7"/>
  <c r="H20" i="7" s="1"/>
  <c r="F26" i="7"/>
  <c r="H26" i="7" s="1"/>
  <c r="F7" i="7"/>
  <c r="H7" i="7" s="1"/>
  <c r="F14" i="7"/>
  <c r="H14" i="7" s="1"/>
  <c r="F21" i="7"/>
  <c r="H21" i="7" s="1"/>
  <c r="F27" i="7"/>
  <c r="H27" i="7" s="1"/>
  <c r="F19" i="7"/>
  <c r="H19" i="7" s="1"/>
  <c r="F15" i="7"/>
  <c r="H15" i="7" s="1"/>
  <c r="F8" i="7"/>
  <c r="H8" i="7" s="1"/>
  <c r="F22" i="7"/>
  <c r="H22" i="7" s="1"/>
  <c r="F28" i="7"/>
  <c r="H28" i="7" s="1"/>
  <c r="F16" i="7"/>
  <c r="G16" i="7" s="1"/>
  <c r="H16" i="7" s="1"/>
  <c r="C34" i="7"/>
  <c r="C35" i="7"/>
  <c r="C33" i="7"/>
  <c r="D46" i="7"/>
  <c r="D43" i="7"/>
  <c r="D42" i="7"/>
  <c r="D39" i="7"/>
  <c r="D23" i="7"/>
  <c r="C22" i="7"/>
  <c r="C21" i="7"/>
  <c r="F59" i="7" l="1"/>
  <c r="H59" i="7" s="1"/>
  <c r="F70" i="7"/>
  <c r="H70" i="7" s="1"/>
  <c r="J103" i="6"/>
  <c r="F77" i="7"/>
  <c r="H77" i="7" s="1"/>
  <c r="F47" i="7"/>
  <c r="H47" i="7" s="1"/>
  <c r="F71" i="7"/>
  <c r="H71" i="7" s="1"/>
  <c r="F53" i="7"/>
  <c r="H53" i="7" s="1"/>
  <c r="F34" i="7"/>
  <c r="H34" i="7" s="1"/>
  <c r="F58" i="7"/>
  <c r="H58" i="7" s="1"/>
  <c r="F51" i="7"/>
  <c r="H51" i="7" s="1"/>
  <c r="F57" i="7"/>
  <c r="H57" i="7" s="1"/>
  <c r="F52" i="7"/>
  <c r="H52" i="7" s="1"/>
  <c r="F33" i="7"/>
  <c r="H33" i="7" s="1"/>
  <c r="F35" i="7"/>
  <c r="H35" i="7" s="1"/>
  <c r="D103" i="6"/>
  <c r="D102" i="6"/>
  <c r="K102" i="6" s="1"/>
  <c r="D101" i="6"/>
  <c r="K101" i="6" s="1"/>
  <c r="C82" i="6"/>
  <c r="C76" i="6"/>
  <c r="C79" i="6"/>
  <c r="K103" i="6" l="1"/>
  <c r="L104" i="6" s="1"/>
  <c r="C73" i="6"/>
  <c r="C72" i="6"/>
  <c r="C70" i="6"/>
  <c r="C67" i="6"/>
  <c r="C66" i="6"/>
  <c r="B57" i="6"/>
  <c r="B56" i="6"/>
  <c r="F9" i="7" l="1"/>
  <c r="H9" i="7" s="1"/>
  <c r="L111" i="6"/>
  <c r="L113" i="6" s="1"/>
  <c r="L114" i="6" s="1"/>
  <c r="J18" i="6" l="1"/>
  <c r="J42" i="6" l="1"/>
  <c r="J36" i="6"/>
  <c r="J22" i="6"/>
  <c r="J73" i="6"/>
  <c r="J74" i="6" s="1"/>
  <c r="J29" i="6" l="1"/>
  <c r="B67" i="6"/>
  <c r="B68" i="6"/>
  <c r="B66" i="6"/>
  <c r="I92" i="6" l="1"/>
  <c r="C58" i="6" l="1"/>
  <c r="C51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Dominic Mahubane</author>
  </authors>
  <commentList>
    <comment ref="E7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Dominic Mahubane:</t>
        </r>
        <r>
          <rPr>
            <sz val="9"/>
            <color indexed="81"/>
            <rFont val="Tahoma"/>
            <family val="2"/>
          </rPr>
          <t xml:space="preserve">
Below Minimun approved tariff tariff increased by 17%</t>
        </r>
      </text>
    </comment>
    <comment ref="F7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Dominic Mahubane:</t>
        </r>
        <r>
          <rPr>
            <sz val="9"/>
            <color indexed="81"/>
            <rFont val="Tahoma"/>
            <family val="2"/>
          </rPr>
          <t xml:space="preserve">
Below Minimun approved tariff tariff increased by 17%</t>
        </r>
      </text>
    </comment>
    <comment ref="E7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Dominic Mahubane:</t>
        </r>
        <r>
          <rPr>
            <sz val="9"/>
            <color indexed="81"/>
            <rFont val="Tahoma"/>
            <family val="2"/>
          </rPr>
          <t xml:space="preserve">
Below Minimun approved tariff increased by 17%</t>
        </r>
      </text>
    </comment>
    <comment ref="F7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Dominic Mahubane:</t>
        </r>
        <r>
          <rPr>
            <sz val="9"/>
            <color indexed="81"/>
            <rFont val="Tahoma"/>
            <family val="2"/>
          </rPr>
          <t xml:space="preserve">
Below Minimun approved tariff increased by 17%</t>
        </r>
      </text>
    </comment>
    <comment ref="E7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Dominic Mahubane:</t>
        </r>
        <r>
          <rPr>
            <sz val="9"/>
            <color indexed="81"/>
            <rFont val="Tahoma"/>
            <family val="2"/>
          </rPr>
          <t xml:space="preserve">
Below Minimun approved tariff increased by 18%</t>
        </r>
      </text>
    </comment>
    <comment ref="F7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Dominic Mahubane:</t>
        </r>
        <r>
          <rPr>
            <sz val="9"/>
            <color indexed="81"/>
            <rFont val="Tahoma"/>
            <family val="2"/>
          </rPr>
          <t xml:space="preserve">
Below Minimun approved tariff increased by 18%</t>
        </r>
      </text>
    </comment>
    <comment ref="E79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Dominic Mahubane:</t>
        </r>
        <r>
          <rPr>
            <sz val="9"/>
            <color indexed="81"/>
            <rFont val="Tahoma"/>
            <family val="2"/>
          </rPr>
          <t xml:space="preserve">
Below Minimun approved tariff increased by 18%</t>
        </r>
      </text>
    </comment>
    <comment ref="F79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Dominic Mahubane:</t>
        </r>
        <r>
          <rPr>
            <sz val="9"/>
            <color indexed="81"/>
            <rFont val="Tahoma"/>
            <family val="2"/>
          </rPr>
          <t xml:space="preserve">
Below Minimun approved tariff increased by 18%</t>
        </r>
      </text>
    </comment>
    <comment ref="E82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Dominic Mahubane:</t>
        </r>
        <r>
          <rPr>
            <sz val="9"/>
            <color indexed="81"/>
            <rFont val="Tahoma"/>
            <family val="2"/>
          </rPr>
          <t xml:space="preserve">
Below Minimun approved tariff increased by 18%</t>
        </r>
      </text>
    </comment>
    <comment ref="F82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Dominic Mahubane:</t>
        </r>
        <r>
          <rPr>
            <sz val="9"/>
            <color indexed="81"/>
            <rFont val="Tahoma"/>
            <family val="2"/>
          </rPr>
          <t xml:space="preserve">
Below Minimun approved tariff increased by 18%</t>
        </r>
      </text>
    </comment>
    <comment ref="E85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Dominic Mahubane:</t>
        </r>
        <r>
          <rPr>
            <sz val="9"/>
            <color indexed="81"/>
            <rFont val="Tahoma"/>
            <family val="2"/>
          </rPr>
          <t xml:space="preserve">
Below Minimun approved tariff increased by 15%</t>
        </r>
      </text>
    </comment>
    <comment ref="F85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Dominic Mahubane:</t>
        </r>
        <r>
          <rPr>
            <sz val="9"/>
            <color indexed="81"/>
            <rFont val="Tahoma"/>
            <family val="2"/>
          </rPr>
          <t xml:space="preserve">
Below Minimun approved tariff increased by 15%</t>
        </r>
      </text>
    </comment>
  </commentList>
</comments>
</file>

<file path=xl/sharedStrings.xml><?xml version="1.0" encoding="utf-8"?>
<sst xmlns="http://schemas.openxmlformats.org/spreadsheetml/2006/main" count="258" uniqueCount="131">
  <si>
    <t>BASIC CHARGES</t>
  </si>
  <si>
    <t>CATEGORY</t>
  </si>
  <si>
    <t>PHASE</t>
  </si>
  <si>
    <t>CONSUMERS</t>
  </si>
  <si>
    <t>OLD</t>
  </si>
  <si>
    <t>PROPOSED</t>
  </si>
  <si>
    <t>DOMESTIC</t>
  </si>
  <si>
    <t>TEMP CONNECTIONS</t>
  </si>
  <si>
    <t>BUSINESS</t>
  </si>
  <si>
    <t>BULK</t>
  </si>
  <si>
    <t>INDUSTRIAL</t>
  </si>
  <si>
    <t>AGRICULTURAL</t>
  </si>
  <si>
    <t>CONSUMPTION</t>
  </si>
  <si>
    <t>AGRICULTURAL BULK</t>
  </si>
  <si>
    <t>VACANT STANDS</t>
  </si>
  <si>
    <t>RESIDENTIAL</t>
  </si>
  <si>
    <t>RECONNECTION AFTER NON PAYMENT</t>
  </si>
  <si>
    <t>CONNECTION FEE</t>
  </si>
  <si>
    <t>TEST OF METERS</t>
  </si>
  <si>
    <t xml:space="preserve">TEMP CONNECTIONS </t>
  </si>
  <si>
    <t>AMPS (kVA)</t>
  </si>
  <si>
    <t>DOMESTIC BLOCK 1</t>
  </si>
  <si>
    <t>DOMESTIC BLOCK 2</t>
  </si>
  <si>
    <t>DOMESTIC BLOCK 3</t>
  </si>
  <si>
    <t>DOMESTIC BLOCK 4</t>
  </si>
  <si>
    <t>KWH</t>
  </si>
  <si>
    <t>0-50KWH</t>
  </si>
  <si>
    <t>51-350KWH</t>
  </si>
  <si>
    <t>351-600KWH</t>
  </si>
  <si>
    <t>&gt;600KWH</t>
  </si>
  <si>
    <t>NO OF CUSTOMERS</t>
  </si>
  <si>
    <t>DOMESTIC PREPAID 1ph</t>
  </si>
  <si>
    <t>DOMESTIC PREPAID 3ph</t>
  </si>
  <si>
    <t>COM / IND BULK</t>
  </si>
  <si>
    <t>DOMESTIC CONVENTIONAL</t>
  </si>
  <si>
    <t>COMM / IND CONVENTIIONAL</t>
  </si>
  <si>
    <t>COMM / IND PREPAID</t>
  </si>
  <si>
    <t>Church/Schools</t>
  </si>
  <si>
    <t>all</t>
  </si>
  <si>
    <t>Streetlights</t>
  </si>
  <si>
    <t>Departmental</t>
  </si>
  <si>
    <t>&gt;80</t>
  </si>
  <si>
    <t>Church/School/Charitible</t>
  </si>
  <si>
    <t>Departmental/Streetlights</t>
  </si>
  <si>
    <t>single phase</t>
  </si>
  <si>
    <t>Three phase</t>
  </si>
  <si>
    <t>Homes/Charitable</t>
  </si>
  <si>
    <t xml:space="preserve">EPHRAIM MOGALE LOCAL MUNICIPALITY  </t>
  </si>
  <si>
    <t>Above 150A</t>
  </si>
  <si>
    <t>Business</t>
  </si>
  <si>
    <t>Energy Charge</t>
  </si>
  <si>
    <t>2019/2020 TARIFFS</t>
  </si>
  <si>
    <t>2018/2019</t>
  </si>
  <si>
    <t>COMMERCIAL</t>
  </si>
  <si>
    <t>13.07% increase</t>
  </si>
  <si>
    <t>PROPOSED 2019/2020 TARIFFS</t>
  </si>
  <si>
    <t>(3000kWh)</t>
  </si>
  <si>
    <t>COMM / IND CONVENTIONAL 3P</t>
  </si>
  <si>
    <t>(5500kWh)</t>
  </si>
  <si>
    <t xml:space="preserve">COMM/IND MEDIUM </t>
  </si>
  <si>
    <t>(11500kWh)</t>
  </si>
  <si>
    <t>Proposed 2019-2020</t>
  </si>
  <si>
    <t>Estimated Income</t>
  </si>
  <si>
    <t>Total estimated income</t>
  </si>
  <si>
    <t>TOTAL</t>
  </si>
  <si>
    <t>Vat inclusive</t>
  </si>
  <si>
    <t>Proposed TARIFF 2019/2020</t>
  </si>
  <si>
    <t>NEW CONNECTIONS</t>
  </si>
  <si>
    <t>(including ext 6)</t>
  </si>
  <si>
    <t>PENALTIES FOR TAMPERING</t>
  </si>
  <si>
    <t>Residential</t>
  </si>
  <si>
    <t>1st offence</t>
  </si>
  <si>
    <t>2nd offence</t>
  </si>
  <si>
    <t>3rd offence</t>
  </si>
  <si>
    <t>Bulk</t>
  </si>
  <si>
    <t>MAXIMUM DEMAND</t>
  </si>
  <si>
    <t>DEMAND CHARGE</t>
  </si>
  <si>
    <t>UNITS</t>
  </si>
  <si>
    <t>2018-2019</t>
  </si>
  <si>
    <t>Estimated income</t>
  </si>
  <si>
    <t>Commercial ABOVE 150AMP(100kVA)</t>
  </si>
  <si>
    <t>Industrial ABOVE 150AMP(100kVA)</t>
  </si>
  <si>
    <t>AGRIC ABOVE 150AMP(100kVA)</t>
  </si>
  <si>
    <t>(43800kWh)&gt;=</t>
  </si>
  <si>
    <t>And Legal Proceedings</t>
  </si>
  <si>
    <t>ANNUAL INCOME</t>
  </si>
  <si>
    <t>TOTAL INCOME</t>
  </si>
  <si>
    <t>ALTERNATIVE ENERGY FEED BACK TARIFF</t>
  </si>
  <si>
    <t xml:space="preserve">All categories for kWh but no Demand(75% * purchase cost - 70.43c) </t>
  </si>
  <si>
    <t xml:space="preserve">Not Approved </t>
  </si>
  <si>
    <t>DOMESTIC CONVENTIONAL 1ph</t>
  </si>
  <si>
    <t>COMM / IND CONVENTIIONAL 1P</t>
  </si>
  <si>
    <t>DOMESTIC CONVENTIONAL 3ph</t>
  </si>
  <si>
    <t>All categories for kWh but no Demand</t>
  </si>
  <si>
    <t>Proposed 2018-2019</t>
  </si>
  <si>
    <t>PROPOSED 2020/2021 TARIFFS</t>
  </si>
  <si>
    <t>Proposed 2020-2021</t>
  </si>
  <si>
    <t>Proposed TARIFF 2020/2021</t>
  </si>
  <si>
    <t>2020/2021 TARIFFS</t>
  </si>
  <si>
    <t>-</t>
  </si>
  <si>
    <t>FINAL</t>
  </si>
  <si>
    <t>2021/2022 TARIFFS</t>
  </si>
  <si>
    <t>Proposed 2021-2022</t>
  </si>
  <si>
    <t>Proposed TARIFF 2021/2022</t>
  </si>
  <si>
    <t>Proposed                    2021-2022</t>
  </si>
  <si>
    <t>Proposed                   2021-2022</t>
  </si>
  <si>
    <t>PROPOSED ELECTRICITY TARIFFS 2022-2023</t>
  </si>
  <si>
    <t>2022/2023 TARIFFS</t>
  </si>
  <si>
    <t>7.47%% increase</t>
  </si>
  <si>
    <t>7.47% increase</t>
  </si>
  <si>
    <t>Proposed                   2022-2023</t>
  </si>
  <si>
    <t>Proposed 2022-2023</t>
  </si>
  <si>
    <t>Proposed                    2022-2023</t>
  </si>
  <si>
    <t>Proposed TARIFF 2018/2019</t>
  </si>
  <si>
    <t>Proposed TARIFF 2019-2020</t>
  </si>
  <si>
    <t>Proposed TARIFF 2022/2023</t>
  </si>
  <si>
    <t>APPROVED                       2021/2022 TARIFFS                            CENTS</t>
  </si>
  <si>
    <t>PROPOSED                        2022/2023 TARIFFS        CENTS</t>
  </si>
  <si>
    <t>basic charge 1ph 80Amp R/Amount</t>
  </si>
  <si>
    <t>basic charge 3ph 80Amp R/Amount</t>
  </si>
  <si>
    <t>basic charge 3ph 150Amp R/Amount</t>
  </si>
  <si>
    <t>basic charge 3ph 150Amp-above R/Amount</t>
  </si>
  <si>
    <t>basic charge 3ph 40Amp R/Amount</t>
  </si>
  <si>
    <t>basic charge BULK R/Amount</t>
  </si>
  <si>
    <t>MAXIMUM DEMAND Commercial ABOVE 150AMP(100kVA) R/Amount</t>
  </si>
  <si>
    <t>MAXIMUM DEMAND Industrial ABOVE 150AMP(100kVA) R/Amount</t>
  </si>
  <si>
    <t>MAXIMUM DEMAND AGRIC ABOVE 150AMP(100kVA) R/Amount</t>
  </si>
  <si>
    <t>PROPOSED 2021/2022 TARIFFS  (Cents)</t>
  </si>
  <si>
    <t>PROPOSED 2022/2023 TARIFFS (Cents)</t>
  </si>
  <si>
    <t>Proposed 2021-2022( cents)</t>
  </si>
  <si>
    <t>Proposed 2022-2023 (cents)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</si>
</sst>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(* #,##0.00_);_(* \(#,##0.00\);_(* &quot;-&quot;??_);_(@_)"/>
    <numFmt numFmtId="164" formatCode="&quot;R&quot;\ #,##0.00;&quot;R&quot;\ \-#,##0.00"/>
    <numFmt numFmtId="165" formatCode="_ &quot;R&quot;\ * #,##0_ ;_ &quot;R&quot;\ * \-#,##0_ ;_ &quot;R&quot;\ * &quot;-&quot;_ ;_ @_ "/>
    <numFmt numFmtId="166" formatCode="_ &quot;R&quot;\ * #,##0.00_ ;_ &quot;R&quot;\ * \-#,##0.00_ ;_ &quot;R&quot;\ * &quot;-&quot;??_ ;_ @_ "/>
    <numFmt numFmtId="167" formatCode="_ * #,##0.00_ ;_ * \-#,##0.00_ ;_ * &quot;-&quot;??_ ;_ @_ "/>
    <numFmt numFmtId="168" formatCode="_-* #,##0.00_-;\-* #,##0.00_-;_-* &quot;-&quot;??_-;_-@_-"/>
    <numFmt numFmtId="169" formatCode="#,##0.0000"/>
    <numFmt numFmtId="170" formatCode="&quot;R&quot;\ #,##0.00"/>
    <numFmt numFmtId="171" formatCode="#,##0_ ;\-#,##0\ "/>
    <numFmt numFmtId="172" formatCode="#,##0.00000000000000"/>
    <numFmt numFmtId="173" formatCode="&quot;R&quot;\ #,##0"/>
    <numFmt numFmtId="174" formatCode="[$R-1C09]\ #,##0.00"/>
    <numFmt numFmtId="175" formatCode="_ * #,##0_ ;_ * \-#,##0_ ;_ * &quot;-&quot;??_ ;_ @_ "/>
  </numFmts>
  <fonts count="1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u/>
      <sz val="9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7" fontId="1" fillId="0" borderId="0" applyFont="0" applyFill="0" applyBorder="0" applyAlignment="0" applyProtection="0"/>
    <xf numFmtId="0" fontId="2" fillId="0" borderId="0"/>
  </cellStyleXfs>
  <cellXfs count="347">
    <xf numFmtId="0" fontId="0" fillId="0" borderId="0" xfId="0"/>
    <xf numFmtId="0" fontId="4" fillId="0" borderId="0" xfId="0" applyNumberFormat="1" applyFont="1" applyFill="1" applyBorder="1" applyAlignment="1">
      <alignment wrapText="1"/>
    </xf>
    <xf numFmtId="2" fontId="5" fillId="0" borderId="0" xfId="0" applyNumberFormat="1" applyFont="1" applyFill="1" applyBorder="1"/>
    <xf numFmtId="0" fontId="7" fillId="0" borderId="0" xfId="0" applyFont="1"/>
    <xf numFmtId="2" fontId="3" fillId="0" borderId="0" xfId="0" applyNumberFormat="1" applyFont="1" applyFill="1" applyBorder="1"/>
    <xf numFmtId="2" fontId="5" fillId="0" borderId="0" xfId="0" applyNumberFormat="1" applyFont="1" applyFill="1"/>
    <xf numFmtId="2" fontId="4" fillId="0" borderId="0" xfId="0" applyNumberFormat="1" applyFont="1" applyFill="1"/>
    <xf numFmtId="0" fontId="5" fillId="0" borderId="0" xfId="0" applyFont="1" applyFill="1"/>
    <xf numFmtId="0" fontId="0" fillId="0" borderId="0" xfId="0" applyFill="1"/>
    <xf numFmtId="0" fontId="2" fillId="0" borderId="0" xfId="0" applyFont="1" applyFill="1"/>
    <xf numFmtId="10" fontId="0" fillId="0" borderId="0" xfId="0" applyNumberFormat="1" applyFill="1"/>
    <xf numFmtId="0" fontId="3" fillId="0" borderId="2" xfId="0" applyFont="1" applyFill="1" applyBorder="1"/>
    <xf numFmtId="0" fontId="5" fillId="0" borderId="0" xfId="0" applyNumberFormat="1" applyFont="1" applyFill="1"/>
    <xf numFmtId="0" fontId="0" fillId="0" borderId="0" xfId="0" applyNumberFormat="1" applyFill="1"/>
    <xf numFmtId="170" fontId="4" fillId="0" borderId="0" xfId="0" applyNumberFormat="1" applyFont="1" applyFill="1" applyBorder="1"/>
    <xf numFmtId="2" fontId="3" fillId="0" borderId="0" xfId="0" applyNumberFormat="1" applyFont="1" applyFill="1"/>
    <xf numFmtId="0" fontId="3" fillId="0" borderId="0" xfId="0" applyFont="1" applyFill="1"/>
    <xf numFmtId="0" fontId="3" fillId="0" borderId="0" xfId="0" applyFont="1" applyFill="1" applyBorder="1"/>
    <xf numFmtId="2" fontId="4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/>
    <xf numFmtId="2" fontId="4" fillId="0" borderId="0" xfId="0" applyNumberFormat="1" applyFont="1" applyFill="1" applyAlignment="1">
      <alignment horizontal="right"/>
    </xf>
    <xf numFmtId="173" fontId="4" fillId="0" borderId="0" xfId="0" applyNumberFormat="1" applyFont="1" applyFill="1" applyBorder="1"/>
    <xf numFmtId="2" fontId="4" fillId="0" borderId="0" xfId="0" applyNumberFormat="1" applyFont="1" applyFill="1" applyBorder="1" applyAlignment="1">
      <alignment horizontal="right"/>
    </xf>
    <xf numFmtId="170" fontId="3" fillId="0" borderId="0" xfId="0" applyNumberFormat="1" applyFont="1" applyFill="1"/>
    <xf numFmtId="0" fontId="4" fillId="0" borderId="0" xfId="0" applyNumberFormat="1" applyFont="1" applyFill="1" applyBorder="1"/>
    <xf numFmtId="2" fontId="4" fillId="0" borderId="0" xfId="0" applyNumberFormat="1" applyFont="1" applyFill="1" applyBorder="1" applyAlignment="1">
      <alignment wrapText="1"/>
    </xf>
    <xf numFmtId="2" fontId="4" fillId="0" borderId="0" xfId="0" applyNumberFormat="1" applyFont="1" applyFill="1" applyBorder="1" applyAlignment="1">
      <alignment horizontal="center" vertical="center" wrapText="1"/>
    </xf>
    <xf numFmtId="166" fontId="4" fillId="0" borderId="0" xfId="0" applyNumberFormat="1" applyFont="1" applyFill="1" applyBorder="1" applyAlignment="1">
      <alignment horizontal="right"/>
    </xf>
    <xf numFmtId="165" fontId="4" fillId="0" borderId="0" xfId="0" applyNumberFormat="1" applyFont="1" applyFill="1" applyBorder="1" applyAlignment="1">
      <alignment horizontal="right"/>
    </xf>
    <xf numFmtId="168" fontId="4" fillId="0" borderId="0" xfId="0" applyNumberFormat="1" applyFont="1" applyFill="1" applyBorder="1" applyAlignment="1">
      <alignment horizontal="right"/>
    </xf>
    <xf numFmtId="0" fontId="3" fillId="0" borderId="4" xfId="0" applyFont="1" applyFill="1" applyBorder="1"/>
    <xf numFmtId="2" fontId="3" fillId="0" borderId="0" xfId="0" applyNumberFormat="1" applyFont="1" applyFill="1" applyBorder="1" applyAlignment="1"/>
    <xf numFmtId="0" fontId="4" fillId="0" borderId="0" xfId="0" applyFont="1" applyFill="1" applyBorder="1" applyAlignment="1">
      <alignment wrapText="1"/>
    </xf>
    <xf numFmtId="4" fontId="3" fillId="0" borderId="0" xfId="0" applyNumberFormat="1" applyFont="1" applyFill="1" applyBorder="1"/>
    <xf numFmtId="174" fontId="4" fillId="0" borderId="2" xfId="0" applyNumberFormat="1" applyFont="1" applyFill="1" applyBorder="1"/>
    <xf numFmtId="2" fontId="4" fillId="3" borderId="11" xfId="0" applyNumberFormat="1" applyFont="1" applyFill="1" applyBorder="1" applyAlignment="1">
      <alignment wrapText="1"/>
    </xf>
    <xf numFmtId="2" fontId="4" fillId="3" borderId="46" xfId="0" applyNumberFormat="1" applyFont="1" applyFill="1" applyBorder="1" applyAlignment="1"/>
    <xf numFmtId="2" fontId="4" fillId="3" borderId="11" xfId="0" applyNumberFormat="1" applyFont="1" applyFill="1" applyBorder="1"/>
    <xf numFmtId="2" fontId="4" fillId="3" borderId="11" xfId="0" applyNumberFormat="1" applyFont="1" applyFill="1" applyBorder="1" applyAlignment="1">
      <alignment horizontal="center" wrapText="1"/>
    </xf>
    <xf numFmtId="0" fontId="6" fillId="3" borderId="9" xfId="0" applyFont="1" applyFill="1" applyBorder="1"/>
    <xf numFmtId="0" fontId="5" fillId="10" borderId="38" xfId="0" applyFont="1" applyFill="1" applyBorder="1"/>
    <xf numFmtId="1" fontId="5" fillId="10" borderId="39" xfId="0" applyNumberFormat="1" applyFont="1" applyFill="1" applyBorder="1" applyAlignment="1">
      <alignment horizontal="center"/>
    </xf>
    <xf numFmtId="2" fontId="5" fillId="10" borderId="39" xfId="0" applyNumberFormat="1" applyFont="1" applyFill="1" applyBorder="1"/>
    <xf numFmtId="0" fontId="5" fillId="10" borderId="27" xfId="0" applyFont="1" applyFill="1" applyBorder="1"/>
    <xf numFmtId="1" fontId="5" fillId="10" borderId="2" xfId="0" applyNumberFormat="1" applyFont="1" applyFill="1" applyBorder="1" applyAlignment="1">
      <alignment horizontal="center"/>
    </xf>
    <xf numFmtId="171" fontId="5" fillId="10" borderId="2" xfId="0" applyNumberFormat="1" applyFont="1" applyFill="1" applyBorder="1" applyAlignment="1">
      <alignment horizontal="center"/>
    </xf>
    <xf numFmtId="2" fontId="5" fillId="10" borderId="2" xfId="0" applyNumberFormat="1" applyFont="1" applyFill="1" applyBorder="1"/>
    <xf numFmtId="2" fontId="1" fillId="10" borderId="48" xfId="0" applyNumberFormat="1" applyFont="1" applyFill="1" applyBorder="1"/>
    <xf numFmtId="2" fontId="3" fillId="10" borderId="2" xfId="0" applyNumberFormat="1" applyFont="1" applyFill="1" applyBorder="1"/>
    <xf numFmtId="0" fontId="5" fillId="10" borderId="41" xfId="0" applyFont="1" applyFill="1" applyBorder="1"/>
    <xf numFmtId="1" fontId="5" fillId="10" borderId="28" xfId="0" applyNumberFormat="1" applyFont="1" applyFill="1" applyBorder="1" applyAlignment="1">
      <alignment horizontal="center"/>
    </xf>
    <xf numFmtId="171" fontId="5" fillId="10" borderId="28" xfId="0" applyNumberFormat="1" applyFont="1" applyFill="1" applyBorder="1" applyAlignment="1">
      <alignment horizontal="center"/>
    </xf>
    <xf numFmtId="2" fontId="3" fillId="10" borderId="28" xfId="0" applyNumberFormat="1" applyFont="1" applyFill="1" applyBorder="1"/>
    <xf numFmtId="2" fontId="1" fillId="10" borderId="49" xfId="0" applyNumberFormat="1" applyFont="1" applyFill="1" applyBorder="1"/>
    <xf numFmtId="0" fontId="0" fillId="11" borderId="0" xfId="0" applyFill="1"/>
    <xf numFmtId="0" fontId="5" fillId="9" borderId="13" xfId="0" applyFont="1" applyFill="1" applyBorder="1"/>
    <xf numFmtId="1" fontId="5" fillId="9" borderId="13" xfId="0" applyNumberFormat="1" applyFont="1" applyFill="1" applyBorder="1" applyAlignment="1">
      <alignment horizontal="center"/>
    </xf>
    <xf numFmtId="171" fontId="5" fillId="9" borderId="13" xfId="0" applyNumberFormat="1" applyFont="1" applyFill="1" applyBorder="1" applyAlignment="1">
      <alignment horizontal="center"/>
    </xf>
    <xf numFmtId="2" fontId="5" fillId="9" borderId="13" xfId="0" applyNumberFormat="1" applyFont="1" applyFill="1" applyBorder="1"/>
    <xf numFmtId="2" fontId="1" fillId="9" borderId="13" xfId="0" applyNumberFormat="1" applyFont="1" applyFill="1" applyBorder="1"/>
    <xf numFmtId="0" fontId="5" fillId="9" borderId="7" xfId="0" applyFont="1" applyFill="1" applyBorder="1"/>
    <xf numFmtId="1" fontId="5" fillId="9" borderId="7" xfId="0" applyNumberFormat="1" applyFont="1" applyFill="1" applyBorder="1" applyAlignment="1">
      <alignment horizontal="center"/>
    </xf>
    <xf numFmtId="171" fontId="5" fillId="9" borderId="7" xfId="0" applyNumberFormat="1" applyFont="1" applyFill="1" applyBorder="1" applyAlignment="1">
      <alignment horizontal="center"/>
    </xf>
    <xf numFmtId="2" fontId="3" fillId="9" borderId="7" xfId="0" applyNumberFormat="1" applyFont="1" applyFill="1" applyBorder="1"/>
    <xf numFmtId="2" fontId="1" fillId="9" borderId="7" xfId="0" applyNumberFormat="1" applyFont="1" applyFill="1" applyBorder="1"/>
    <xf numFmtId="0" fontId="3" fillId="9" borderId="31" xfId="0" applyFont="1" applyFill="1" applyBorder="1"/>
    <xf numFmtId="1" fontId="3" fillId="9" borderId="21" xfId="0" applyNumberFormat="1" applyFont="1" applyFill="1" applyBorder="1" applyAlignment="1">
      <alignment horizontal="center"/>
    </xf>
    <xf numFmtId="171" fontId="3" fillId="9" borderId="22" xfId="0" applyNumberFormat="1" applyFont="1" applyFill="1" applyBorder="1" applyAlignment="1">
      <alignment horizontal="center"/>
    </xf>
    <xf numFmtId="2" fontId="5" fillId="9" borderId="21" xfId="0" applyNumberFormat="1" applyFont="1" applyFill="1" applyBorder="1"/>
    <xf numFmtId="2" fontId="1" fillId="9" borderId="22" xfId="0" applyNumberFormat="1" applyFont="1" applyFill="1" applyBorder="1"/>
    <xf numFmtId="0" fontId="3" fillId="9" borderId="7" xfId="0" applyFont="1" applyFill="1" applyBorder="1"/>
    <xf numFmtId="1" fontId="3" fillId="9" borderId="7" xfId="0" applyNumberFormat="1" applyFont="1" applyFill="1" applyBorder="1" applyAlignment="1">
      <alignment horizontal="center"/>
    </xf>
    <xf numFmtId="171" fontId="3" fillId="9" borderId="7" xfId="0" applyNumberFormat="1" applyFont="1" applyFill="1" applyBorder="1" applyAlignment="1">
      <alignment horizontal="center"/>
    </xf>
    <xf numFmtId="2" fontId="5" fillId="9" borderId="7" xfId="0" applyNumberFormat="1" applyFont="1" applyFill="1" applyBorder="1"/>
    <xf numFmtId="167" fontId="5" fillId="9" borderId="7" xfId="1" applyFont="1" applyFill="1" applyBorder="1"/>
    <xf numFmtId="0" fontId="6" fillId="9" borderId="46" xfId="0" applyFont="1" applyFill="1" applyBorder="1"/>
    <xf numFmtId="2" fontId="4" fillId="9" borderId="10" xfId="0" applyNumberFormat="1" applyFont="1" applyFill="1" applyBorder="1" applyAlignment="1">
      <alignment wrapText="1"/>
    </xf>
    <xf numFmtId="2" fontId="4" fillId="9" borderId="10" xfId="0" applyNumberFormat="1" applyFont="1" applyFill="1" applyBorder="1" applyAlignment="1"/>
    <xf numFmtId="2" fontId="4" fillId="9" borderId="10" xfId="0" applyNumberFormat="1" applyFont="1" applyFill="1" applyBorder="1"/>
    <xf numFmtId="2" fontId="4" fillId="9" borderId="10" xfId="0" applyNumberFormat="1" applyFont="1" applyFill="1" applyBorder="1" applyAlignment="1">
      <alignment horizontal="center" wrapText="1"/>
    </xf>
    <xf numFmtId="0" fontId="0" fillId="9" borderId="13" xfId="0" applyFill="1" applyBorder="1"/>
    <xf numFmtId="0" fontId="3" fillId="10" borderId="26" xfId="0" applyFont="1" applyFill="1" applyBorder="1"/>
    <xf numFmtId="1" fontId="5" fillId="10" borderId="14" xfId="0" applyNumberFormat="1" applyFont="1" applyFill="1" applyBorder="1" applyAlignment="1">
      <alignment horizontal="center"/>
    </xf>
    <xf numFmtId="171" fontId="5" fillId="10" borderId="15" xfId="0" applyNumberFormat="1" applyFont="1" applyFill="1" applyBorder="1" applyAlignment="1">
      <alignment horizontal="center"/>
    </xf>
    <xf numFmtId="2" fontId="5" fillId="10" borderId="14" xfId="0" applyNumberFormat="1" applyFont="1" applyFill="1" applyBorder="1"/>
    <xf numFmtId="0" fontId="3" fillId="10" borderId="27" xfId="0" applyFont="1" applyFill="1" applyBorder="1"/>
    <xf numFmtId="171" fontId="5" fillId="10" borderId="23" xfId="0" applyNumberFormat="1" applyFont="1" applyFill="1" applyBorder="1" applyAlignment="1">
      <alignment horizontal="center"/>
    </xf>
    <xf numFmtId="2" fontId="5" fillId="10" borderId="28" xfId="0" applyNumberFormat="1" applyFont="1" applyFill="1" applyBorder="1"/>
    <xf numFmtId="0" fontId="3" fillId="10" borderId="41" xfId="0" applyFont="1" applyFill="1" applyBorder="1"/>
    <xf numFmtId="1" fontId="3" fillId="10" borderId="28" xfId="0" applyNumberFormat="1" applyFont="1" applyFill="1" applyBorder="1" applyAlignment="1">
      <alignment horizontal="center"/>
    </xf>
    <xf numFmtId="171" fontId="3" fillId="10" borderId="23" xfId="0" applyNumberFormat="1" applyFont="1" applyFill="1" applyBorder="1" applyAlignment="1">
      <alignment horizontal="center"/>
    </xf>
    <xf numFmtId="1" fontId="3" fillId="10" borderId="2" xfId="0" applyNumberFormat="1" applyFont="1" applyFill="1" applyBorder="1" applyAlignment="1">
      <alignment horizontal="center"/>
    </xf>
    <xf numFmtId="171" fontId="3" fillId="10" borderId="2" xfId="0" applyNumberFormat="1" applyFont="1" applyFill="1" applyBorder="1" applyAlignment="1">
      <alignment horizontal="center"/>
    </xf>
    <xf numFmtId="171" fontId="3" fillId="10" borderId="28" xfId="0" applyNumberFormat="1" applyFont="1" applyFill="1" applyBorder="1" applyAlignment="1">
      <alignment horizontal="center"/>
    </xf>
    <xf numFmtId="1" fontId="3" fillId="10" borderId="24" xfId="0" applyNumberFormat="1" applyFont="1" applyFill="1" applyBorder="1" applyAlignment="1">
      <alignment horizontal="center"/>
    </xf>
    <xf numFmtId="171" fontId="3" fillId="10" borderId="30" xfId="0" applyNumberFormat="1" applyFont="1" applyFill="1" applyBorder="1" applyAlignment="1">
      <alignment horizontal="center"/>
    </xf>
    <xf numFmtId="2" fontId="5" fillId="10" borderId="24" xfId="0" applyNumberFormat="1" applyFont="1" applyFill="1" applyBorder="1"/>
    <xf numFmtId="1" fontId="3" fillId="10" borderId="14" xfId="0" applyNumberFormat="1" applyFont="1" applyFill="1" applyBorder="1" applyAlignment="1">
      <alignment horizontal="center"/>
    </xf>
    <xf numFmtId="171" fontId="3" fillId="10" borderId="15" xfId="0" applyNumberFormat="1" applyFont="1" applyFill="1" applyBorder="1" applyAlignment="1">
      <alignment horizontal="center"/>
    </xf>
    <xf numFmtId="2" fontId="1" fillId="10" borderId="53" xfId="0" applyNumberFormat="1" applyFont="1" applyFill="1" applyBorder="1"/>
    <xf numFmtId="0" fontId="5" fillId="10" borderId="26" xfId="0" applyFont="1" applyFill="1" applyBorder="1"/>
    <xf numFmtId="1" fontId="5" fillId="10" borderId="24" xfId="0" applyNumberFormat="1" applyFont="1" applyFill="1" applyBorder="1" applyAlignment="1">
      <alignment horizontal="center"/>
    </xf>
    <xf numFmtId="171" fontId="5" fillId="10" borderId="30" xfId="0" applyNumberFormat="1" applyFont="1" applyFill="1" applyBorder="1" applyAlignment="1">
      <alignment horizontal="center"/>
    </xf>
    <xf numFmtId="2" fontId="1" fillId="10" borderId="55" xfId="0" applyNumberFormat="1" applyFont="1" applyFill="1" applyBorder="1"/>
    <xf numFmtId="171" fontId="5" fillId="10" borderId="25" xfId="0" applyNumberFormat="1" applyFont="1" applyFill="1" applyBorder="1" applyAlignment="1">
      <alignment horizontal="center"/>
    </xf>
    <xf numFmtId="0" fontId="3" fillId="10" borderId="31" xfId="0" applyFont="1" applyFill="1" applyBorder="1"/>
    <xf numFmtId="1" fontId="5" fillId="10" borderId="21" xfId="0" applyNumberFormat="1" applyFont="1" applyFill="1" applyBorder="1" applyAlignment="1">
      <alignment horizontal="center"/>
    </xf>
    <xf numFmtId="171" fontId="5" fillId="10" borderId="22" xfId="0" applyNumberFormat="1" applyFont="1" applyFill="1" applyBorder="1" applyAlignment="1">
      <alignment horizontal="center"/>
    </xf>
    <xf numFmtId="2" fontId="5" fillId="10" borderId="21" xfId="0" applyNumberFormat="1" applyFont="1" applyFill="1" applyBorder="1"/>
    <xf numFmtId="2" fontId="1" fillId="10" borderId="56" xfId="0" applyNumberFormat="1" applyFont="1" applyFill="1" applyBorder="1"/>
    <xf numFmtId="167" fontId="5" fillId="10" borderId="14" xfId="1" applyFont="1" applyFill="1" applyBorder="1"/>
    <xf numFmtId="1" fontId="5" fillId="10" borderId="30" xfId="0" applyNumberFormat="1" applyFont="1" applyFill="1" applyBorder="1" applyAlignment="1">
      <alignment horizontal="center"/>
    </xf>
    <xf numFmtId="0" fontId="3" fillId="10" borderId="0" xfId="0" applyFont="1" applyFill="1" applyBorder="1" applyAlignment="1">
      <alignment horizontal="center"/>
    </xf>
    <xf numFmtId="0" fontId="3" fillId="11" borderId="0" xfId="0" applyFont="1" applyFill="1" applyBorder="1"/>
    <xf numFmtId="1" fontId="3" fillId="11" borderId="0" xfId="0" applyNumberFormat="1" applyFont="1" applyFill="1" applyBorder="1" applyAlignment="1">
      <alignment horizontal="center"/>
    </xf>
    <xf numFmtId="171" fontId="3" fillId="11" borderId="0" xfId="0" applyNumberFormat="1" applyFont="1" applyFill="1" applyBorder="1" applyAlignment="1">
      <alignment horizontal="center"/>
    </xf>
    <xf numFmtId="2" fontId="5" fillId="11" borderId="0" xfId="0" applyNumberFormat="1" applyFont="1" applyFill="1" applyBorder="1"/>
    <xf numFmtId="2" fontId="1" fillId="11" borderId="0" xfId="0" applyNumberFormat="1" applyFont="1" applyFill="1" applyBorder="1"/>
    <xf numFmtId="166" fontId="5" fillId="11" borderId="0" xfId="0" applyNumberFormat="1" applyFont="1" applyFill="1" applyBorder="1" applyAlignment="1">
      <alignment horizontal="right"/>
    </xf>
    <xf numFmtId="166" fontId="5" fillId="10" borderId="13" xfId="0" applyNumberFormat="1" applyFont="1" applyFill="1" applyBorder="1" applyAlignment="1">
      <alignment horizontal="right"/>
    </xf>
    <xf numFmtId="166" fontId="4" fillId="6" borderId="20" xfId="0" applyNumberFormat="1" applyFont="1" applyFill="1" applyBorder="1" applyAlignment="1">
      <alignment horizontal="right"/>
    </xf>
    <xf numFmtId="166" fontId="4" fillId="6" borderId="57" xfId="0" applyNumberFormat="1" applyFont="1" applyFill="1" applyBorder="1" applyAlignment="1">
      <alignment horizontal="right" wrapText="1"/>
    </xf>
    <xf numFmtId="166" fontId="4" fillId="6" borderId="20" xfId="0" applyNumberFormat="1" applyFont="1" applyFill="1" applyBorder="1" applyAlignment="1">
      <alignment horizontal="right" wrapText="1"/>
    </xf>
    <xf numFmtId="0" fontId="5" fillId="10" borderId="54" xfId="0" applyNumberFormat="1" applyFont="1" applyFill="1" applyBorder="1" applyAlignment="1">
      <alignment horizontal="center"/>
    </xf>
    <xf numFmtId="0" fontId="5" fillId="10" borderId="13" xfId="0" applyNumberFormat="1" applyFont="1" applyFill="1" applyBorder="1" applyAlignment="1">
      <alignment horizontal="center"/>
    </xf>
    <xf numFmtId="2" fontId="0" fillId="12" borderId="18" xfId="0" applyNumberFormat="1" applyFill="1" applyBorder="1"/>
    <xf numFmtId="2" fontId="1" fillId="10" borderId="60" xfId="0" applyNumberFormat="1" applyFont="1" applyFill="1" applyBorder="1"/>
    <xf numFmtId="2" fontId="1" fillId="10" borderId="25" xfId="0" applyNumberFormat="1" applyFont="1" applyFill="1" applyBorder="1"/>
    <xf numFmtId="2" fontId="1" fillId="10" borderId="23" xfId="0" applyNumberFormat="1" applyFont="1" applyFill="1" applyBorder="1"/>
    <xf numFmtId="2" fontId="0" fillId="12" borderId="2" xfId="0" applyNumberFormat="1" applyFill="1" applyBorder="1"/>
    <xf numFmtId="0" fontId="0" fillId="11" borderId="16" xfId="0" applyFill="1" applyBorder="1"/>
    <xf numFmtId="0" fontId="0" fillId="11" borderId="18" xfId="0" applyFill="1" applyBorder="1"/>
    <xf numFmtId="0" fontId="0" fillId="11" borderId="20" xfId="0" applyFill="1" applyBorder="1"/>
    <xf numFmtId="2" fontId="1" fillId="10" borderId="30" xfId="0" applyNumberFormat="1" applyFont="1" applyFill="1" applyBorder="1"/>
    <xf numFmtId="2" fontId="1" fillId="10" borderId="15" xfId="0" applyNumberFormat="1" applyFont="1" applyFill="1" applyBorder="1"/>
    <xf numFmtId="0" fontId="7" fillId="11" borderId="16" xfId="0" applyFont="1" applyFill="1" applyBorder="1" applyAlignment="1">
      <alignment wrapText="1"/>
    </xf>
    <xf numFmtId="2" fontId="0" fillId="12" borderId="16" xfId="0" applyNumberFormat="1" applyFill="1" applyBorder="1"/>
    <xf numFmtId="0" fontId="10" fillId="0" borderId="0" xfId="0" applyFont="1" applyFill="1"/>
    <xf numFmtId="0" fontId="11" fillId="0" borderId="0" xfId="0" applyFont="1" applyBorder="1" applyAlignment="1">
      <alignment horizontal="center"/>
    </xf>
    <xf numFmtId="0" fontId="12" fillId="0" borderId="0" xfId="0" applyNumberFormat="1" applyFont="1" applyFill="1"/>
    <xf numFmtId="169" fontId="12" fillId="0" borderId="0" xfId="0" applyNumberFormat="1" applyFont="1" applyFill="1"/>
    <xf numFmtId="0" fontId="12" fillId="0" borderId="0" xfId="0" applyFont="1" applyFill="1"/>
    <xf numFmtId="169" fontId="12" fillId="4" borderId="0" xfId="0" applyNumberFormat="1" applyFont="1" applyFill="1"/>
    <xf numFmtId="169" fontId="12" fillId="2" borderId="0" xfId="0" applyNumberFormat="1" applyFont="1" applyFill="1"/>
    <xf numFmtId="0" fontId="12" fillId="0" borderId="0" xfId="0" applyNumberFormat="1" applyFont="1" applyFill="1" applyAlignment="1">
      <alignment horizontal="center"/>
    </xf>
    <xf numFmtId="0" fontId="11" fillId="0" borderId="0" xfId="0" applyNumberFormat="1" applyFont="1" applyFill="1" applyAlignment="1">
      <alignment wrapText="1"/>
    </xf>
    <xf numFmtId="0" fontId="11" fillId="3" borderId="6" xfId="0" applyNumberFormat="1" applyFont="1" applyFill="1" applyBorder="1" applyAlignment="1">
      <alignment wrapText="1"/>
    </xf>
    <xf numFmtId="0" fontId="11" fillId="3" borderId="7" xfId="0" applyNumberFormat="1" applyFont="1" applyFill="1" applyBorder="1" applyAlignment="1">
      <alignment wrapText="1"/>
    </xf>
    <xf numFmtId="0" fontId="11" fillId="3" borderId="8" xfId="0" applyNumberFormat="1" applyFont="1" applyFill="1" applyBorder="1" applyAlignment="1">
      <alignment wrapText="1"/>
    </xf>
    <xf numFmtId="169" fontId="11" fillId="3" borderId="16" xfId="0" applyNumberFormat="1" applyFont="1" applyFill="1" applyBorder="1" applyAlignment="1">
      <alignment wrapText="1"/>
    </xf>
    <xf numFmtId="0" fontId="11" fillId="2" borderId="16" xfId="0" applyFont="1" applyFill="1" applyBorder="1" applyAlignment="1">
      <alignment horizontal="center" wrapText="1"/>
    </xf>
    <xf numFmtId="0" fontId="11" fillId="0" borderId="16" xfId="0" applyFont="1" applyBorder="1"/>
    <xf numFmtId="0" fontId="12" fillId="0" borderId="0" xfId="0" applyFont="1"/>
    <xf numFmtId="0" fontId="11" fillId="0" borderId="9" xfId="0" applyNumberFormat="1" applyFont="1" applyFill="1" applyBorder="1" applyAlignment="1">
      <alignment wrapText="1"/>
    </xf>
    <xf numFmtId="0" fontId="12" fillId="0" borderId="10" xfId="0" applyNumberFormat="1" applyFont="1" applyFill="1" applyBorder="1" applyAlignment="1">
      <alignment wrapText="1"/>
    </xf>
    <xf numFmtId="0" fontId="12" fillId="0" borderId="11" xfId="0" applyNumberFormat="1" applyFont="1" applyFill="1" applyBorder="1" applyAlignment="1">
      <alignment wrapText="1"/>
    </xf>
    <xf numFmtId="0" fontId="11" fillId="0" borderId="34" xfId="0" applyNumberFormat="1" applyFont="1" applyFill="1" applyBorder="1" applyAlignment="1">
      <alignment wrapText="1"/>
    </xf>
    <xf numFmtId="0" fontId="11" fillId="0" borderId="4" xfId="0" applyNumberFormat="1" applyFont="1" applyFill="1" applyBorder="1" applyAlignment="1">
      <alignment horizontal="center" wrapText="1"/>
    </xf>
    <xf numFmtId="0" fontId="12" fillId="0" borderId="51" xfId="0" applyFont="1" applyBorder="1"/>
    <xf numFmtId="0" fontId="12" fillId="0" borderId="0" xfId="0" applyNumberFormat="1" applyFont="1" applyFill="1" applyAlignment="1">
      <alignment wrapText="1"/>
    </xf>
    <xf numFmtId="1" fontId="11" fillId="0" borderId="5" xfId="0" applyNumberFormat="1" applyFont="1" applyFill="1" applyBorder="1" applyAlignment="1">
      <alignment horizontal="center" wrapText="1"/>
    </xf>
    <xf numFmtId="0" fontId="12" fillId="0" borderId="1" xfId="0" applyNumberFormat="1" applyFont="1" applyFill="1" applyBorder="1" applyAlignment="1">
      <alignment wrapText="1"/>
    </xf>
    <xf numFmtId="0" fontId="11" fillId="2" borderId="1" xfId="0" applyNumberFormat="1" applyFont="1" applyFill="1" applyBorder="1" applyAlignment="1">
      <alignment horizontal="center" wrapText="1"/>
    </xf>
    <xf numFmtId="0" fontId="11" fillId="0" borderId="33" xfId="0" applyNumberFormat="1" applyFont="1" applyFill="1" applyBorder="1" applyAlignment="1">
      <alignment wrapText="1"/>
    </xf>
    <xf numFmtId="0" fontId="11" fillId="0" borderId="35" xfId="0" applyNumberFormat="1" applyFont="1" applyFill="1" applyBorder="1" applyAlignment="1">
      <alignment wrapText="1"/>
    </xf>
    <xf numFmtId="169" fontId="11" fillId="0" borderId="4" xfId="0" applyNumberFormat="1" applyFont="1" applyFill="1" applyBorder="1" applyAlignment="1">
      <alignment wrapText="1"/>
    </xf>
    <xf numFmtId="0" fontId="12" fillId="0" borderId="52" xfId="0" applyFont="1" applyBorder="1"/>
    <xf numFmtId="1" fontId="12" fillId="0" borderId="5" xfId="0" applyNumberFormat="1" applyFont="1" applyFill="1" applyBorder="1" applyAlignment="1">
      <alignment horizontal="center"/>
    </xf>
    <xf numFmtId="2" fontId="12" fillId="0" borderId="1" xfId="0" applyNumberFormat="1" applyFont="1" applyFill="1" applyBorder="1"/>
    <xf numFmtId="1" fontId="11" fillId="2" borderId="1" xfId="0" applyNumberFormat="1" applyFont="1" applyFill="1" applyBorder="1" applyAlignment="1">
      <alignment horizontal="center"/>
    </xf>
    <xf numFmtId="170" fontId="12" fillId="0" borderId="35" xfId="0" applyNumberFormat="1" applyFont="1" applyFill="1" applyBorder="1" applyAlignment="1"/>
    <xf numFmtId="170" fontId="12" fillId="0" borderId="37" xfId="0" applyNumberFormat="1" applyFont="1" applyFill="1" applyBorder="1" applyAlignment="1"/>
    <xf numFmtId="170" fontId="12" fillId="0" borderId="22" xfId="0" applyNumberFormat="1" applyFont="1" applyFill="1" applyBorder="1" applyAlignment="1"/>
    <xf numFmtId="170" fontId="12" fillId="0" borderId="21" xfId="0" applyNumberFormat="1" applyFont="1" applyFill="1" applyBorder="1" applyAlignment="1">
      <alignment horizontal="right"/>
    </xf>
    <xf numFmtId="172" fontId="12" fillId="0" borderId="35" xfId="0" applyNumberFormat="1" applyFont="1" applyBorder="1"/>
    <xf numFmtId="0" fontId="11" fillId="0" borderId="0" xfId="0" applyNumberFormat="1" applyFont="1" applyFill="1" applyBorder="1" applyAlignment="1">
      <alignment wrapText="1"/>
    </xf>
    <xf numFmtId="170" fontId="12" fillId="0" borderId="3" xfId="0" applyNumberFormat="1" applyFont="1" applyFill="1" applyBorder="1" applyAlignment="1"/>
    <xf numFmtId="170" fontId="12" fillId="0" borderId="0" xfId="0" applyNumberFormat="1" applyFont="1" applyFill="1" applyBorder="1" applyAlignment="1"/>
    <xf numFmtId="170" fontId="12" fillId="0" borderId="1" xfId="0" applyNumberFormat="1" applyFont="1" applyFill="1" applyBorder="1" applyAlignment="1">
      <alignment horizontal="right"/>
    </xf>
    <xf numFmtId="4" fontId="11" fillId="0" borderId="3" xfId="0" applyNumberFormat="1" applyFont="1" applyBorder="1"/>
    <xf numFmtId="169" fontId="12" fillId="0" borderId="0" xfId="0" applyNumberFormat="1" applyFont="1"/>
    <xf numFmtId="0" fontId="12" fillId="0" borderId="3" xfId="0" applyFont="1" applyBorder="1"/>
    <xf numFmtId="0" fontId="11" fillId="0" borderId="0" xfId="0" applyFont="1" applyFill="1"/>
    <xf numFmtId="2" fontId="12" fillId="0" borderId="1" xfId="0" applyNumberFormat="1" applyFont="1" applyFill="1" applyBorder="1" applyAlignment="1">
      <alignment horizontal="right"/>
    </xf>
    <xf numFmtId="170" fontId="11" fillId="0" borderId="3" xfId="0" applyNumberFormat="1" applyFont="1" applyBorder="1"/>
    <xf numFmtId="1" fontId="11" fillId="0" borderId="5" xfId="0" applyNumberFormat="1" applyFont="1" applyFill="1" applyBorder="1" applyAlignment="1">
      <alignment horizontal="center"/>
    </xf>
    <xf numFmtId="1" fontId="11" fillId="2" borderId="3" xfId="0" applyNumberFormat="1" applyFont="1" applyFill="1" applyBorder="1" applyAlignment="1">
      <alignment horizontal="center"/>
    </xf>
    <xf numFmtId="2" fontId="12" fillId="0" borderId="0" xfId="0" applyNumberFormat="1" applyFont="1" applyFill="1" applyBorder="1"/>
    <xf numFmtId="2" fontId="12" fillId="0" borderId="12" xfId="0" applyNumberFormat="1" applyFont="1" applyFill="1" applyBorder="1"/>
    <xf numFmtId="2" fontId="12" fillId="0" borderId="13" xfId="0" applyNumberFormat="1" applyFont="1" applyFill="1" applyBorder="1"/>
    <xf numFmtId="1" fontId="11" fillId="2" borderId="14" xfId="0" applyNumberFormat="1" applyFont="1" applyFill="1" applyBorder="1" applyAlignment="1">
      <alignment horizontal="center"/>
    </xf>
    <xf numFmtId="170" fontId="12" fillId="0" borderId="32" xfId="0" applyNumberFormat="1" applyFont="1" applyFill="1" applyBorder="1" applyAlignment="1"/>
    <xf numFmtId="170" fontId="12" fillId="0" borderId="13" xfId="0" applyNumberFormat="1" applyFont="1" applyFill="1" applyBorder="1" applyAlignment="1"/>
    <xf numFmtId="170" fontId="12" fillId="0" borderId="24" xfId="0" applyNumberFormat="1" applyFont="1" applyFill="1" applyBorder="1" applyAlignment="1">
      <alignment horizontal="right"/>
    </xf>
    <xf numFmtId="170" fontId="11" fillId="0" borderId="52" xfId="0" applyNumberFormat="1" applyFont="1" applyBorder="1"/>
    <xf numFmtId="2" fontId="12" fillId="0" borderId="0" xfId="0" applyNumberFormat="1" applyFont="1" applyFill="1"/>
    <xf numFmtId="2" fontId="11" fillId="0" borderId="0" xfId="0" applyNumberFormat="1" applyFont="1" applyFill="1"/>
    <xf numFmtId="2" fontId="12" fillId="5" borderId="0" xfId="0" applyNumberFormat="1" applyFont="1" applyFill="1"/>
    <xf numFmtId="0" fontId="10" fillId="0" borderId="6" xfId="0" applyFont="1" applyFill="1" applyBorder="1"/>
    <xf numFmtId="2" fontId="11" fillId="3" borderId="8" xfId="0" applyNumberFormat="1" applyFont="1" applyFill="1" applyBorder="1" applyAlignment="1">
      <alignment wrapText="1"/>
    </xf>
    <xf numFmtId="2" fontId="11" fillId="3" borderId="17" xfId="0" applyNumberFormat="1" applyFont="1" applyFill="1" applyBorder="1" applyAlignment="1"/>
    <xf numFmtId="2" fontId="11" fillId="3" borderId="8" xfId="0" applyNumberFormat="1" applyFont="1" applyFill="1" applyBorder="1"/>
    <xf numFmtId="2" fontId="11" fillId="3" borderId="8" xfId="0" applyNumberFormat="1" applyFont="1" applyFill="1" applyBorder="1" applyAlignment="1">
      <alignment horizontal="center" wrapText="1"/>
    </xf>
    <xf numFmtId="3" fontId="11" fillId="3" borderId="29" xfId="0" applyNumberFormat="1" applyFont="1" applyFill="1" applyBorder="1" applyAlignment="1">
      <alignment horizontal="center" wrapText="1"/>
    </xf>
    <xf numFmtId="0" fontId="10" fillId="0" borderId="5" xfId="0" applyFont="1" applyFill="1" applyBorder="1"/>
    <xf numFmtId="2" fontId="11" fillId="0" borderId="1" xfId="0" applyNumberFormat="1" applyFont="1" applyFill="1" applyBorder="1" applyAlignment="1">
      <alignment wrapText="1"/>
    </xf>
    <xf numFmtId="2" fontId="11" fillId="0" borderId="0" xfId="0" applyNumberFormat="1" applyFont="1" applyFill="1" applyBorder="1" applyAlignment="1"/>
    <xf numFmtId="2" fontId="11" fillId="0" borderId="1" xfId="0" applyNumberFormat="1" applyFont="1" applyFill="1" applyBorder="1"/>
    <xf numFmtId="0" fontId="12" fillId="0" borderId="24" xfId="0" applyFont="1" applyBorder="1"/>
    <xf numFmtId="0" fontId="12" fillId="0" borderId="0" xfId="0" applyFont="1" applyBorder="1"/>
    <xf numFmtId="0" fontId="12" fillId="0" borderId="26" xfId="0" applyFont="1" applyFill="1" applyBorder="1"/>
    <xf numFmtId="1" fontId="12" fillId="0" borderId="24" xfId="0" applyNumberFormat="1" applyFont="1" applyFill="1" applyBorder="1" applyAlignment="1">
      <alignment horizontal="center"/>
    </xf>
    <xf numFmtId="1" fontId="12" fillId="0" borderId="30" xfId="0" applyNumberFormat="1" applyFont="1" applyFill="1" applyBorder="1" applyAlignment="1">
      <alignment horizontal="center"/>
    </xf>
    <xf numFmtId="2" fontId="12" fillId="0" borderId="24" xfId="0" applyNumberFormat="1" applyFont="1" applyFill="1" applyBorder="1"/>
    <xf numFmtId="2" fontId="12" fillId="0" borderId="2" xfId="0" applyNumberFormat="1" applyFont="1" applyBorder="1"/>
    <xf numFmtId="0" fontId="12" fillId="0" borderId="27" xfId="0" applyFont="1" applyFill="1" applyBorder="1"/>
    <xf numFmtId="171" fontId="12" fillId="0" borderId="25" xfId="0" applyNumberFormat="1" applyFont="1" applyFill="1" applyBorder="1" applyAlignment="1">
      <alignment horizontal="center"/>
    </xf>
    <xf numFmtId="2" fontId="12" fillId="0" borderId="2" xfId="0" applyNumberFormat="1" applyFont="1" applyFill="1" applyBorder="1"/>
    <xf numFmtId="0" fontId="10" fillId="0" borderId="27" xfId="0" applyFont="1" applyFill="1" applyBorder="1"/>
    <xf numFmtId="1" fontId="12" fillId="0" borderId="2" xfId="0" applyNumberFormat="1" applyFont="1" applyFill="1" applyBorder="1" applyAlignment="1">
      <alignment horizontal="center"/>
    </xf>
    <xf numFmtId="166" fontId="12" fillId="0" borderId="25" xfId="0" applyNumberFormat="1" applyFont="1" applyFill="1" applyBorder="1" applyAlignment="1">
      <alignment horizontal="right"/>
    </xf>
    <xf numFmtId="167" fontId="12" fillId="0" borderId="2" xfId="1" applyFont="1" applyFill="1" applyBorder="1"/>
    <xf numFmtId="2" fontId="12" fillId="7" borderId="2" xfId="0" applyNumberFormat="1" applyFont="1" applyFill="1" applyBorder="1"/>
    <xf numFmtId="0" fontId="13" fillId="0" borderId="0" xfId="0" applyFont="1"/>
    <xf numFmtId="1" fontId="12" fillId="2" borderId="2" xfId="0" applyNumberFormat="1" applyFont="1" applyFill="1" applyBorder="1" applyAlignment="1">
      <alignment horizontal="center"/>
    </xf>
    <xf numFmtId="171" fontId="12" fillId="2" borderId="25" xfId="0" applyNumberFormat="1" applyFont="1" applyFill="1" applyBorder="1" applyAlignment="1">
      <alignment horizontal="center"/>
    </xf>
    <xf numFmtId="0" fontId="11" fillId="0" borderId="27" xfId="0" applyFont="1" applyFill="1" applyBorder="1"/>
    <xf numFmtId="0" fontId="13" fillId="0" borderId="0" xfId="0" applyFont="1" applyFill="1"/>
    <xf numFmtId="1" fontId="12" fillId="2" borderId="21" xfId="0" applyNumberFormat="1" applyFont="1" applyFill="1" applyBorder="1" applyAlignment="1">
      <alignment horizontal="center"/>
    </xf>
    <xf numFmtId="171" fontId="12" fillId="2" borderId="22" xfId="0" applyNumberFormat="1" applyFont="1" applyFill="1" applyBorder="1" applyAlignment="1">
      <alignment horizontal="center"/>
    </xf>
    <xf numFmtId="171" fontId="12" fillId="0" borderId="22" xfId="0" applyNumberFormat="1" applyFont="1" applyFill="1" applyBorder="1" applyAlignment="1">
      <alignment horizontal="center"/>
    </xf>
    <xf numFmtId="2" fontId="12" fillId="0" borderId="21" xfId="0" applyNumberFormat="1" applyFont="1" applyFill="1" applyBorder="1"/>
    <xf numFmtId="0" fontId="10" fillId="0" borderId="31" xfId="0" applyFont="1" applyFill="1" applyBorder="1"/>
    <xf numFmtId="1" fontId="12" fillId="0" borderId="28" xfId="0" applyNumberFormat="1" applyFont="1" applyFill="1" applyBorder="1" applyAlignment="1">
      <alignment horizontal="center"/>
    </xf>
    <xf numFmtId="171" fontId="12" fillId="0" borderId="23" xfId="0" applyNumberFormat="1" applyFont="1" applyFill="1" applyBorder="1" applyAlignment="1">
      <alignment horizontal="center"/>
    </xf>
    <xf numFmtId="2" fontId="12" fillId="0" borderId="28" xfId="0" applyNumberFormat="1" applyFont="1" applyFill="1" applyBorder="1"/>
    <xf numFmtId="2" fontId="12" fillId="0" borderId="28" xfId="0" applyNumberFormat="1" applyFont="1" applyBorder="1"/>
    <xf numFmtId="170" fontId="12" fillId="0" borderId="0" xfId="0" applyNumberFormat="1" applyFont="1" applyFill="1" applyBorder="1" applyAlignment="1">
      <alignment horizontal="right"/>
    </xf>
    <xf numFmtId="167" fontId="11" fillId="0" borderId="7" xfId="1" applyFont="1" applyFill="1" applyBorder="1" applyAlignment="1">
      <alignment horizontal="right"/>
    </xf>
    <xf numFmtId="170" fontId="12" fillId="0" borderId="0" xfId="0" applyNumberFormat="1" applyFont="1" applyFill="1" applyBorder="1"/>
    <xf numFmtId="0" fontId="12" fillId="0" borderId="0" xfId="0" applyNumberFormat="1" applyFont="1" applyFill="1" applyBorder="1"/>
    <xf numFmtId="2" fontId="12" fillId="0" borderId="0" xfId="0" applyNumberFormat="1" applyFont="1" applyFill="1" applyBorder="1" applyAlignment="1">
      <alignment horizontal="right"/>
    </xf>
    <xf numFmtId="166" fontId="12" fillId="0" borderId="0" xfId="0" applyNumberFormat="1" applyFont="1" applyFill="1" applyBorder="1"/>
    <xf numFmtId="166" fontId="12" fillId="0" borderId="0" xfId="0" applyNumberFormat="1" applyFont="1" applyFill="1" applyBorder="1" applyAlignment="1">
      <alignment horizontal="right"/>
    </xf>
    <xf numFmtId="0" fontId="12" fillId="0" borderId="0" xfId="0" applyNumberFormat="1" applyFont="1" applyFill="1" applyBorder="1" applyAlignment="1">
      <alignment horizontal="right"/>
    </xf>
    <xf numFmtId="166" fontId="11" fillId="6" borderId="16" xfId="0" applyNumberFormat="1" applyFont="1" applyFill="1" applyBorder="1" applyAlignment="1">
      <alignment horizontal="right"/>
    </xf>
    <xf numFmtId="166" fontId="11" fillId="6" borderId="29" xfId="0" applyNumberFormat="1" applyFont="1" applyFill="1" applyBorder="1" applyAlignment="1">
      <alignment horizontal="right" wrapText="1"/>
    </xf>
    <xf numFmtId="170" fontId="12" fillId="0" borderId="24" xfId="0" applyNumberFormat="1" applyFont="1" applyFill="1" applyBorder="1" applyAlignment="1"/>
    <xf numFmtId="2" fontId="11" fillId="0" borderId="0" xfId="0" applyNumberFormat="1" applyFont="1" applyFill="1" applyBorder="1" applyAlignment="1">
      <alignment horizontal="right"/>
    </xf>
    <xf numFmtId="2" fontId="11" fillId="0" borderId="0" xfId="0" applyNumberFormat="1" applyFont="1" applyFill="1" applyBorder="1"/>
    <xf numFmtId="2" fontId="12" fillId="8" borderId="17" xfId="0" applyNumberFormat="1" applyFont="1" applyFill="1" applyBorder="1"/>
    <xf numFmtId="2" fontId="12" fillId="8" borderId="7" xfId="0" applyNumberFormat="1" applyFont="1" applyFill="1" applyBorder="1" applyAlignment="1"/>
    <xf numFmtId="2" fontId="12" fillId="0" borderId="0" xfId="0" applyNumberFormat="1" applyFont="1" applyFill="1" applyBorder="1" applyAlignment="1"/>
    <xf numFmtId="2" fontId="11" fillId="6" borderId="17" xfId="0" applyNumberFormat="1" applyFont="1" applyFill="1" applyBorder="1" applyAlignment="1">
      <alignment horizontal="center"/>
    </xf>
    <xf numFmtId="0" fontId="11" fillId="6" borderId="16" xfId="0" applyNumberFormat="1" applyFont="1" applyFill="1" applyBorder="1" applyAlignment="1">
      <alignment wrapText="1"/>
    </xf>
    <xf numFmtId="0" fontId="11" fillId="7" borderId="16" xfId="0" applyNumberFormat="1" applyFont="1" applyFill="1" applyBorder="1" applyAlignment="1">
      <alignment wrapText="1"/>
    </xf>
    <xf numFmtId="0" fontId="11" fillId="12" borderId="16" xfId="0" applyNumberFormat="1" applyFont="1" applyFill="1" applyBorder="1" applyAlignment="1">
      <alignment wrapText="1"/>
    </xf>
    <xf numFmtId="2" fontId="12" fillId="0" borderId="38" xfId="0" applyNumberFormat="1" applyFont="1" applyFill="1" applyBorder="1" applyAlignment="1">
      <alignment horizontal="right"/>
    </xf>
    <xf numFmtId="164" fontId="12" fillId="0" borderId="39" xfId="0" applyNumberFormat="1" applyFont="1" applyBorder="1"/>
    <xf numFmtId="170" fontId="12" fillId="0" borderId="39" xfId="0" applyNumberFormat="1" applyFont="1" applyFill="1" applyBorder="1"/>
    <xf numFmtId="170" fontId="12" fillId="0" borderId="40" xfId="0" applyNumberFormat="1" applyFont="1" applyFill="1" applyBorder="1" applyAlignment="1">
      <alignment horizontal="right"/>
    </xf>
    <xf numFmtId="9" fontId="11" fillId="0" borderId="0" xfId="0" applyNumberFormat="1" applyFont="1" applyFill="1"/>
    <xf numFmtId="2" fontId="12" fillId="0" borderId="27" xfId="0" applyNumberFormat="1" applyFont="1" applyFill="1" applyBorder="1" applyAlignment="1">
      <alignment horizontal="right"/>
    </xf>
    <xf numFmtId="164" fontId="12" fillId="0" borderId="2" xfId="0" applyNumberFormat="1" applyFont="1" applyBorder="1"/>
    <xf numFmtId="2" fontId="12" fillId="0" borderId="41" xfId="0" applyNumberFormat="1" applyFont="1" applyFill="1" applyBorder="1" applyAlignment="1">
      <alignment horizontal="right"/>
    </xf>
    <xf numFmtId="164" fontId="12" fillId="0" borderId="28" xfId="0" applyNumberFormat="1" applyFont="1" applyBorder="1"/>
    <xf numFmtId="2" fontId="11" fillId="2" borderId="0" xfId="0" applyNumberFormat="1" applyFont="1" applyFill="1" applyAlignment="1">
      <alignment horizontal="right"/>
    </xf>
    <xf numFmtId="2" fontId="11" fillId="2" borderId="0" xfId="0" applyNumberFormat="1" applyFont="1" applyFill="1" applyBorder="1" applyAlignment="1">
      <alignment horizontal="right"/>
    </xf>
    <xf numFmtId="2" fontId="11" fillId="2" borderId="47" xfId="0" applyNumberFormat="1" applyFont="1" applyFill="1" applyBorder="1" applyAlignment="1">
      <alignment horizontal="right"/>
    </xf>
    <xf numFmtId="2" fontId="11" fillId="0" borderId="0" xfId="0" applyNumberFormat="1" applyFont="1" applyFill="1" applyAlignment="1">
      <alignment horizontal="right"/>
    </xf>
    <xf numFmtId="173" fontId="11" fillId="0" borderId="16" xfId="0" applyNumberFormat="1" applyFont="1" applyFill="1" applyBorder="1" applyAlignment="1">
      <alignment horizontal="right"/>
    </xf>
    <xf numFmtId="2" fontId="11" fillId="2" borderId="37" xfId="0" applyNumberFormat="1" applyFont="1" applyFill="1" applyBorder="1" applyAlignment="1">
      <alignment horizontal="center"/>
    </xf>
    <xf numFmtId="2" fontId="11" fillId="2" borderId="0" xfId="0" applyNumberFormat="1" applyFont="1" applyFill="1" applyBorder="1" applyAlignment="1">
      <alignment horizontal="center"/>
    </xf>
    <xf numFmtId="2" fontId="11" fillId="0" borderId="0" xfId="0" applyNumberFormat="1" applyFont="1" applyFill="1" applyBorder="1" applyAlignment="1">
      <alignment horizontal="center"/>
    </xf>
    <xf numFmtId="2" fontId="11" fillId="6" borderId="16" xfId="0" applyNumberFormat="1" applyFont="1" applyFill="1" applyBorder="1"/>
    <xf numFmtId="0" fontId="11" fillId="6" borderId="16" xfId="0" applyFont="1" applyFill="1" applyBorder="1" applyAlignment="1">
      <alignment wrapText="1"/>
    </xf>
    <xf numFmtId="2" fontId="11" fillId="6" borderId="18" xfId="0" applyNumberFormat="1" applyFont="1" applyFill="1" applyBorder="1" applyAlignment="1">
      <alignment wrapText="1"/>
    </xf>
    <xf numFmtId="0" fontId="11" fillId="0" borderId="36" xfId="0" applyFont="1" applyFill="1" applyBorder="1" applyAlignment="1">
      <alignment wrapText="1"/>
    </xf>
    <xf numFmtId="2" fontId="12" fillId="0" borderId="38" xfId="0" applyNumberFormat="1" applyFont="1" applyFill="1" applyBorder="1"/>
    <xf numFmtId="3" fontId="12" fillId="0" borderId="39" xfId="0" applyNumberFormat="1" applyFont="1" applyBorder="1"/>
    <xf numFmtId="4" fontId="12" fillId="0" borderId="39" xfId="0" applyNumberFormat="1" applyFont="1" applyBorder="1"/>
    <xf numFmtId="4" fontId="12" fillId="0" borderId="39" xfId="0" applyNumberFormat="1" applyFont="1" applyFill="1" applyBorder="1" applyAlignment="1">
      <alignment horizontal="right"/>
    </xf>
    <xf numFmtId="4" fontId="12" fillId="0" borderId="4" xfId="0" applyNumberFormat="1" applyFont="1" applyFill="1" applyBorder="1"/>
    <xf numFmtId="2" fontId="12" fillId="0" borderId="27" xfId="0" applyNumberFormat="1" applyFont="1" applyFill="1" applyBorder="1"/>
    <xf numFmtId="3" fontId="12" fillId="0" borderId="28" xfId="0" applyNumberFormat="1" applyFont="1" applyBorder="1"/>
    <xf numFmtId="2" fontId="12" fillId="0" borderId="41" xfId="0" applyNumberFormat="1" applyFont="1" applyFill="1" applyBorder="1"/>
    <xf numFmtId="173" fontId="11" fillId="0" borderId="42" xfId="0" applyNumberFormat="1" applyFont="1" applyFill="1" applyBorder="1" applyAlignment="1">
      <alignment horizontal="right"/>
    </xf>
    <xf numFmtId="0" fontId="14" fillId="0" borderId="0" xfId="0" applyFont="1" applyFill="1"/>
    <xf numFmtId="2" fontId="14" fillId="0" borderId="0" xfId="0" applyNumberFormat="1" applyFont="1" applyFill="1"/>
    <xf numFmtId="173" fontId="11" fillId="0" borderId="19" xfId="0" applyNumberFormat="1" applyFont="1" applyFill="1" applyBorder="1" applyAlignment="1">
      <alignment horizontal="right"/>
    </xf>
    <xf numFmtId="0" fontId="11" fillId="0" borderId="0" xfId="0" applyNumberFormat="1" applyFont="1" applyFill="1"/>
    <xf numFmtId="173" fontId="11" fillId="0" borderId="43" xfId="0" applyNumberFormat="1" applyFont="1" applyFill="1" applyBorder="1"/>
    <xf numFmtId="0" fontId="11" fillId="0" borderId="44" xfId="0" applyNumberFormat="1" applyFont="1" applyFill="1" applyBorder="1"/>
    <xf numFmtId="173" fontId="11" fillId="0" borderId="45" xfId="0" applyNumberFormat="1" applyFont="1" applyFill="1" applyBorder="1"/>
    <xf numFmtId="2" fontId="11" fillId="0" borderId="46" xfId="0" applyNumberFormat="1" applyFont="1" applyFill="1" applyBorder="1" applyAlignment="1">
      <alignment horizontal="center"/>
    </xf>
    <xf numFmtId="2" fontId="11" fillId="6" borderId="6" xfId="0" applyNumberFormat="1" applyFont="1" applyFill="1" applyBorder="1" applyAlignment="1">
      <alignment horizontal="center" vertical="center" wrapText="1"/>
    </xf>
    <xf numFmtId="2" fontId="11" fillId="6" borderId="8" xfId="0" applyNumberFormat="1" applyFont="1" applyFill="1" applyBorder="1" applyAlignment="1">
      <alignment horizontal="center" vertical="center" wrapText="1"/>
    </xf>
    <xf numFmtId="2" fontId="11" fillId="6" borderId="50" xfId="0" applyNumberFormat="1" applyFont="1" applyFill="1" applyBorder="1" applyAlignment="1">
      <alignment horizontal="center" vertical="center" wrapText="1"/>
    </xf>
    <xf numFmtId="2" fontId="11" fillId="0" borderId="0" xfId="0" applyNumberFormat="1" applyFont="1" applyFill="1" applyBorder="1" applyAlignment="1">
      <alignment wrapText="1"/>
    </xf>
    <xf numFmtId="2" fontId="12" fillId="0" borderId="46" xfId="0" applyNumberFormat="1" applyFont="1" applyFill="1" applyBorder="1" applyAlignment="1">
      <alignment horizontal="right"/>
    </xf>
    <xf numFmtId="168" fontId="11" fillId="2" borderId="26" xfId="0" applyNumberFormat="1" applyFont="1" applyFill="1" applyBorder="1" applyAlignment="1">
      <alignment horizontal="right"/>
    </xf>
    <xf numFmtId="168" fontId="11" fillId="2" borderId="24" xfId="0" applyNumberFormat="1" applyFont="1" applyFill="1" applyBorder="1" applyAlignment="1">
      <alignment horizontal="right"/>
    </xf>
    <xf numFmtId="43" fontId="12" fillId="0" borderId="55" xfId="0" applyNumberFormat="1" applyFont="1" applyFill="1" applyBorder="1"/>
    <xf numFmtId="2" fontId="12" fillId="0" borderId="58" xfId="0" applyNumberFormat="1" applyFont="1" applyFill="1" applyBorder="1" applyAlignment="1">
      <alignment horizontal="right"/>
    </xf>
    <xf numFmtId="168" fontId="11" fillId="2" borderId="27" xfId="0" applyNumberFormat="1" applyFont="1" applyFill="1" applyBorder="1" applyAlignment="1">
      <alignment horizontal="right"/>
    </xf>
    <xf numFmtId="168" fontId="11" fillId="2" borderId="2" xfId="0" applyNumberFormat="1" applyFont="1" applyFill="1" applyBorder="1" applyAlignment="1">
      <alignment horizontal="right"/>
    </xf>
    <xf numFmtId="2" fontId="11" fillId="0" borderId="0" xfId="0" applyNumberFormat="1" applyFont="1" applyFill="1" applyAlignment="1">
      <alignment horizontal="center"/>
    </xf>
    <xf numFmtId="1" fontId="12" fillId="0" borderId="18" xfId="0" applyNumberFormat="1" applyFont="1" applyFill="1" applyBorder="1" applyAlignment="1">
      <alignment horizontal="center"/>
    </xf>
    <xf numFmtId="1" fontId="12" fillId="0" borderId="20" xfId="0" applyNumberFormat="1" applyFont="1" applyFill="1" applyBorder="1" applyAlignment="1">
      <alignment horizontal="center"/>
    </xf>
    <xf numFmtId="2" fontId="12" fillId="0" borderId="0" xfId="0" applyNumberFormat="1" applyFont="1" applyFill="1" applyAlignment="1">
      <alignment horizontal="center"/>
    </xf>
    <xf numFmtId="2" fontId="12" fillId="0" borderId="59" xfId="0" applyNumberFormat="1" applyFont="1" applyFill="1" applyBorder="1" applyAlignment="1">
      <alignment horizontal="right"/>
    </xf>
    <xf numFmtId="168" fontId="11" fillId="2" borderId="41" xfId="0" applyNumberFormat="1" applyFont="1" applyFill="1" applyBorder="1" applyAlignment="1">
      <alignment horizontal="right"/>
    </xf>
    <xf numFmtId="168" fontId="11" fillId="2" borderId="28" xfId="0" applyNumberFormat="1" applyFont="1" applyFill="1" applyBorder="1" applyAlignment="1">
      <alignment horizontal="right"/>
    </xf>
    <xf numFmtId="2" fontId="11" fillId="0" borderId="2" xfId="0" applyNumberFormat="1" applyFont="1" applyFill="1" applyBorder="1"/>
    <xf numFmtId="14" fontId="12" fillId="0" borderId="2" xfId="0" applyNumberFormat="1" applyFont="1" applyFill="1" applyBorder="1"/>
    <xf numFmtId="2" fontId="12" fillId="0" borderId="6" xfId="0" applyNumberFormat="1" applyFont="1" applyFill="1" applyBorder="1"/>
    <xf numFmtId="2" fontId="12" fillId="0" borderId="50" xfId="0" applyNumberFormat="1" applyFont="1" applyFill="1" applyBorder="1"/>
    <xf numFmtId="14" fontId="12" fillId="0" borderId="0" xfId="0" applyNumberFormat="1" applyFont="1" applyFill="1" applyBorder="1"/>
    <xf numFmtId="2" fontId="11" fillId="0" borderId="24" xfId="0" applyNumberFormat="1" applyFont="1" applyFill="1" applyBorder="1"/>
    <xf numFmtId="2" fontId="11" fillId="0" borderId="0" xfId="0" applyNumberFormat="1" applyFont="1" applyFill="1" applyBorder="1" applyAlignment="1">
      <alignment horizontal="center" vertical="center" wrapText="1"/>
    </xf>
    <xf numFmtId="2" fontId="12" fillId="0" borderId="4" xfId="0" applyNumberFormat="1" applyFont="1" applyFill="1" applyBorder="1"/>
    <xf numFmtId="174" fontId="11" fillId="0" borderId="2" xfId="0" applyNumberFormat="1" applyFont="1" applyFill="1" applyBorder="1"/>
    <xf numFmtId="0" fontId="12" fillId="0" borderId="2" xfId="0" applyFont="1" applyFill="1" applyBorder="1"/>
    <xf numFmtId="0" fontId="12" fillId="0" borderId="4" xfId="0" applyFont="1" applyFill="1" applyBorder="1"/>
    <xf numFmtId="0" fontId="12" fillId="0" borderId="0" xfId="0" applyFont="1" applyFill="1" applyBorder="1"/>
    <xf numFmtId="0" fontId="11" fillId="0" borderId="2" xfId="0" applyFont="1" applyFill="1" applyBorder="1"/>
    <xf numFmtId="170" fontId="12" fillId="0" borderId="30" xfId="0" applyNumberFormat="1" applyFont="1" applyFill="1" applyBorder="1" applyAlignment="1"/>
    <xf numFmtId="0" fontId="12" fillId="0" borderId="0" xfId="0" applyNumberFormat="1" applyFont="1" applyBorder="1"/>
    <xf numFmtId="0" fontId="12" fillId="0" borderId="2" xfId="0" applyNumberFormat="1" applyFont="1" applyFill="1" applyBorder="1" applyAlignment="1"/>
    <xf numFmtId="2" fontId="12" fillId="0" borderId="2" xfId="0" applyNumberFormat="1" applyFont="1" applyFill="1" applyBorder="1" applyAlignment="1"/>
    <xf numFmtId="0" fontId="12" fillId="0" borderId="24" xfId="0" applyNumberFormat="1" applyFont="1" applyFill="1" applyBorder="1" applyAlignment="1"/>
    <xf numFmtId="2" fontId="12" fillId="0" borderId="24" xfId="0" applyNumberFormat="1" applyFont="1" applyFill="1" applyBorder="1" applyAlignment="1"/>
    <xf numFmtId="175" fontId="12" fillId="0" borderId="2" xfId="1" applyNumberFormat="1" applyFont="1" applyBorder="1"/>
    <xf numFmtId="167" fontId="12" fillId="0" borderId="2" xfId="1" applyNumberFormat="1" applyFont="1" applyBorder="1"/>
    <xf numFmtId="0" fontId="12" fillId="0" borderId="0" xfId="0" applyFont="1" applyFill="1" applyAlignment="1">
      <alignment horizontal="left" wrapText="1"/>
    </xf>
    <xf numFmtId="0" fontId="11" fillId="3" borderId="0" xfId="0" applyFont="1" applyFill="1" applyBorder="1" applyAlignment="1">
      <alignment horizontal="center"/>
    </xf>
    <xf numFmtId="2" fontId="11" fillId="8" borderId="15" xfId="0" applyNumberFormat="1" applyFont="1" applyFill="1" applyBorder="1" applyAlignment="1">
      <alignment horizontal="center"/>
    </xf>
    <xf numFmtId="2" fontId="11" fillId="8" borderId="13" xfId="0" applyNumberFormat="1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29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29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6" fillId="3" borderId="39" xfId="0" applyFont="1" applyFill="1" applyBorder="1" applyAlignment="1">
      <alignment horizontal="center"/>
    </xf>
    <xf numFmtId="0" fontId="6" fillId="3" borderId="40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1156606</xdr:colOff>
      <xdr:row>3</xdr:row>
      <xdr:rowOff>11498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56606" cy="4883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27"/>
  <sheetViews>
    <sheetView view="pageBreakPreview" topLeftCell="C7" zoomScale="96" zoomScaleNormal="96" zoomScaleSheetLayoutView="96" workbookViewId="0">
      <pane ySplit="1" topLeftCell="A128" activePane="bottomLeft" state="frozen"/>
      <selection activeCell="A7" sqref="A7"/>
      <selection pane="bottomLeft" activeCell="J117" sqref="J117"/>
    </sheetView>
  </sheetViews>
  <sheetFormatPr defaultRowHeight="12.75" x14ac:dyDescent="0.2"/>
  <cols>
    <col min="1" max="1" width="41" style="8" customWidth="1"/>
    <col min="2" max="2" width="13" style="8" bestFit="1" customWidth="1"/>
    <col min="3" max="3" width="17.85546875" style="8" bestFit="1" customWidth="1"/>
    <col min="4" max="4" width="17.85546875" style="8" customWidth="1"/>
    <col min="5" max="5" width="11.5703125" style="8" hidden="1" customWidth="1"/>
    <col min="6" max="6" width="15.85546875" style="8" customWidth="1"/>
    <col min="7" max="8" width="20.42578125" style="8" customWidth="1"/>
    <col min="9" max="9" width="19.140625" style="8" customWidth="1"/>
    <col min="10" max="10" width="15.7109375" style="8" customWidth="1"/>
    <col min="11" max="11" width="19.5703125" style="8" customWidth="1"/>
    <col min="12" max="12" width="21" style="13" customWidth="1"/>
    <col min="13" max="13" width="14" style="8" customWidth="1"/>
    <col min="14" max="14" width="12" bestFit="1" customWidth="1"/>
    <col min="15" max="15" width="17.42578125" bestFit="1" customWidth="1"/>
    <col min="16" max="16" width="16.85546875" bestFit="1" customWidth="1"/>
    <col min="17" max="17" width="12.7109375" bestFit="1" customWidth="1"/>
    <col min="18" max="18" width="15" bestFit="1" customWidth="1"/>
  </cols>
  <sheetData>
    <row r="1" spans="1:13" x14ac:dyDescent="0.2">
      <c r="A1" s="137"/>
      <c r="B1" s="335" t="s">
        <v>47</v>
      </c>
      <c r="C1" s="335"/>
      <c r="D1" s="335"/>
      <c r="E1" s="335"/>
      <c r="F1" s="335"/>
      <c r="G1" s="335"/>
      <c r="H1" s="335"/>
      <c r="I1" s="335"/>
      <c r="J1" s="138"/>
      <c r="K1" s="138"/>
      <c r="L1" s="139"/>
      <c r="M1" s="9"/>
    </row>
    <row r="2" spans="1:13" ht="12.75" customHeight="1" x14ac:dyDescent="0.2">
      <c r="A2" s="137"/>
      <c r="B2" s="335" t="s">
        <v>106</v>
      </c>
      <c r="C2" s="335"/>
      <c r="D2" s="335"/>
      <c r="E2" s="335"/>
      <c r="F2" s="335"/>
      <c r="G2" s="335"/>
      <c r="H2" s="335"/>
      <c r="I2" s="335"/>
      <c r="J2" s="140"/>
      <c r="K2" s="140"/>
      <c r="L2" s="139"/>
      <c r="M2" s="7"/>
    </row>
    <row r="3" spans="1:13" ht="12.75" customHeight="1" x14ac:dyDescent="0.2">
      <c r="A3" s="137"/>
      <c r="B3" s="335"/>
      <c r="C3" s="335"/>
      <c r="D3" s="335"/>
      <c r="E3" s="335"/>
      <c r="F3" s="335"/>
      <c r="G3" s="335"/>
      <c r="H3" s="335"/>
      <c r="I3" s="335"/>
      <c r="J3" s="140"/>
      <c r="K3" s="140"/>
      <c r="L3" s="139"/>
      <c r="M3" s="7"/>
    </row>
    <row r="4" spans="1:13" ht="12.75" customHeight="1" x14ac:dyDescent="0.2">
      <c r="A4" s="137"/>
      <c r="B4" s="335"/>
      <c r="C4" s="335"/>
      <c r="D4" s="335"/>
      <c r="E4" s="335"/>
      <c r="F4" s="335"/>
      <c r="G4" s="335"/>
      <c r="H4" s="335"/>
      <c r="I4" s="335"/>
      <c r="J4" s="140"/>
      <c r="K4" s="140"/>
      <c r="L4" s="139"/>
      <c r="M4" s="7"/>
    </row>
    <row r="5" spans="1:13" ht="13.5" thickBot="1" x14ac:dyDescent="0.25">
      <c r="A5" s="137" t="s">
        <v>0</v>
      </c>
      <c r="B5" s="137"/>
      <c r="C5" s="141"/>
      <c r="D5" s="141"/>
      <c r="E5" s="142" t="s">
        <v>54</v>
      </c>
      <c r="F5" s="142" t="s">
        <v>99</v>
      </c>
      <c r="G5" s="142"/>
      <c r="H5" s="142" t="s">
        <v>108</v>
      </c>
      <c r="I5" s="143"/>
      <c r="J5" s="140"/>
      <c r="K5" s="140"/>
      <c r="L5" s="144"/>
      <c r="M5" s="7"/>
    </row>
    <row r="6" spans="1:13" ht="24.75" thickBot="1" x14ac:dyDescent="0.25">
      <c r="A6" s="145" t="s">
        <v>1</v>
      </c>
      <c r="B6" s="146" t="s">
        <v>2</v>
      </c>
      <c r="C6" s="147" t="s">
        <v>20</v>
      </c>
      <c r="D6" s="148" t="s">
        <v>3</v>
      </c>
      <c r="E6" s="149" t="s">
        <v>51</v>
      </c>
      <c r="F6" s="149" t="s">
        <v>98</v>
      </c>
      <c r="G6" s="149" t="s">
        <v>101</v>
      </c>
      <c r="H6" s="149" t="s">
        <v>107</v>
      </c>
      <c r="I6" s="150" t="s">
        <v>85</v>
      </c>
      <c r="J6" s="151" t="s">
        <v>86</v>
      </c>
      <c r="K6" s="152"/>
      <c r="L6" s="152"/>
      <c r="M6"/>
    </row>
    <row r="7" spans="1:13" ht="12.75" customHeight="1" x14ac:dyDescent="0.2">
      <c r="A7" s="145"/>
      <c r="B7" s="153"/>
      <c r="C7" s="154"/>
      <c r="D7" s="155"/>
      <c r="E7" s="156" t="s">
        <v>0</v>
      </c>
      <c r="F7" s="156" t="s">
        <v>0</v>
      </c>
      <c r="G7" s="156" t="s">
        <v>0</v>
      </c>
      <c r="H7" s="156" t="s">
        <v>0</v>
      </c>
      <c r="I7" s="157"/>
      <c r="J7" s="158"/>
      <c r="K7" s="152"/>
      <c r="L7" s="152"/>
      <c r="M7"/>
    </row>
    <row r="8" spans="1:13" x14ac:dyDescent="0.2">
      <c r="A8" s="159"/>
      <c r="B8" s="160"/>
      <c r="C8" s="161"/>
      <c r="D8" s="162"/>
      <c r="E8" s="163" t="s">
        <v>4</v>
      </c>
      <c r="F8" s="163" t="s">
        <v>100</v>
      </c>
      <c r="G8" s="164" t="s">
        <v>5</v>
      </c>
      <c r="H8" s="164" t="s">
        <v>5</v>
      </c>
      <c r="I8" s="165"/>
      <c r="J8" s="166"/>
      <c r="K8" s="152"/>
      <c r="L8" s="152"/>
      <c r="M8"/>
    </row>
    <row r="9" spans="1:13" x14ac:dyDescent="0.2">
      <c r="A9" s="145" t="s">
        <v>6</v>
      </c>
      <c r="B9" s="167">
        <v>1</v>
      </c>
      <c r="C9" s="168">
        <v>80</v>
      </c>
      <c r="D9" s="169">
        <v>346</v>
      </c>
      <c r="E9" s="170">
        <v>189.58647539564416</v>
      </c>
      <c r="F9" s="171">
        <f>E9*106.22/100</f>
        <v>201.37875416525324</v>
      </c>
      <c r="G9" s="172">
        <f>F9*114.59/100</f>
        <v>230.75991439796368</v>
      </c>
      <c r="H9" s="172">
        <f>G9*107.47/100</f>
        <v>247.99768000349155</v>
      </c>
      <c r="I9" s="173">
        <f>H9*D9*12</f>
        <v>1029686.367374497</v>
      </c>
      <c r="J9" s="174"/>
      <c r="K9" s="152"/>
      <c r="L9" s="152"/>
      <c r="M9"/>
    </row>
    <row r="10" spans="1:13" x14ac:dyDescent="0.2">
      <c r="A10" s="175"/>
      <c r="B10" s="167">
        <v>3</v>
      </c>
      <c r="C10" s="168">
        <v>80</v>
      </c>
      <c r="D10" s="169">
        <v>22</v>
      </c>
      <c r="E10" s="176">
        <v>303.42034397374226</v>
      </c>
      <c r="F10" s="177">
        <f>E10*106.22/100</f>
        <v>322.29308936890902</v>
      </c>
      <c r="G10" s="172">
        <f t="shared" ref="G10:G42" si="0">F10*114.59/100</f>
        <v>369.31565110783288</v>
      </c>
      <c r="H10" s="172">
        <f>G10*107.47/100</f>
        <v>396.90353024558794</v>
      </c>
      <c r="I10" s="178">
        <v>1029686.367374497</v>
      </c>
      <c r="J10" s="179">
        <f>SUM(I9:I10)</f>
        <v>2059372.734748994</v>
      </c>
      <c r="K10" s="180"/>
      <c r="L10" s="152"/>
      <c r="M10"/>
    </row>
    <row r="11" spans="1:13" x14ac:dyDescent="0.2">
      <c r="A11" s="141"/>
      <c r="B11" s="167"/>
      <c r="C11" s="168"/>
      <c r="D11" s="169"/>
      <c r="E11" s="176"/>
      <c r="F11" s="177"/>
      <c r="G11" s="172"/>
      <c r="H11" s="172"/>
      <c r="I11" s="178"/>
      <c r="J11" s="181"/>
      <c r="K11" s="152"/>
      <c r="L11" s="152"/>
      <c r="M11"/>
    </row>
    <row r="12" spans="1:13" x14ac:dyDescent="0.2">
      <c r="A12" s="182" t="s">
        <v>7</v>
      </c>
      <c r="B12" s="167">
        <v>1</v>
      </c>
      <c r="C12" s="168">
        <v>80</v>
      </c>
      <c r="D12" s="169"/>
      <c r="E12" s="176">
        <v>474.09428745897225</v>
      </c>
      <c r="F12" s="177">
        <f>E12*106.22/100</f>
        <v>503.58295213892029</v>
      </c>
      <c r="G12" s="172">
        <f t="shared" si="0"/>
        <v>577.05570485598878</v>
      </c>
      <c r="H12" s="172">
        <f t="shared" ref="H12:H13" si="1">G12*107.47/100</f>
        <v>620.16176600873109</v>
      </c>
      <c r="I12" s="178"/>
      <c r="J12" s="181"/>
      <c r="K12" s="152"/>
      <c r="L12" s="152"/>
      <c r="M12"/>
    </row>
    <row r="13" spans="1:13" x14ac:dyDescent="0.2">
      <c r="A13" s="141"/>
      <c r="B13" s="167">
        <v>3</v>
      </c>
      <c r="C13" s="168">
        <v>80</v>
      </c>
      <c r="D13" s="169"/>
      <c r="E13" s="176">
        <v>568.91314495076676</v>
      </c>
      <c r="F13" s="177">
        <f>E13*106.22/100</f>
        <v>604.29954256670453</v>
      </c>
      <c r="G13" s="172">
        <f t="shared" si="0"/>
        <v>692.46684582718672</v>
      </c>
      <c r="H13" s="172">
        <f t="shared" si="1"/>
        <v>744.19411921047754</v>
      </c>
      <c r="I13" s="178"/>
      <c r="J13" s="181"/>
      <c r="K13" s="152"/>
      <c r="L13" s="152"/>
      <c r="M13"/>
    </row>
    <row r="14" spans="1:13" x14ac:dyDescent="0.2">
      <c r="A14" s="141"/>
      <c r="B14" s="167"/>
      <c r="C14" s="168"/>
      <c r="D14" s="169"/>
      <c r="E14" s="176"/>
      <c r="F14" s="177"/>
      <c r="G14" s="172"/>
      <c r="H14" s="172"/>
      <c r="I14" s="178"/>
      <c r="J14" s="181"/>
      <c r="K14" s="152"/>
      <c r="L14" s="152"/>
      <c r="M14"/>
    </row>
    <row r="15" spans="1:13" x14ac:dyDescent="0.2">
      <c r="A15" s="182" t="s">
        <v>37</v>
      </c>
      <c r="B15" s="167">
        <v>1</v>
      </c>
      <c r="C15" s="168">
        <v>80</v>
      </c>
      <c r="D15" s="169">
        <v>10</v>
      </c>
      <c r="E15" s="176">
        <v>189.58647539564416</v>
      </c>
      <c r="F15" s="177">
        <f>E15*106.22/100</f>
        <v>201.37875416525324</v>
      </c>
      <c r="G15" s="172">
        <f t="shared" si="0"/>
        <v>230.75991439796368</v>
      </c>
      <c r="H15" s="172">
        <f t="shared" ref="H15:H18" si="2">G15*107.47/100</f>
        <v>247.99768000349155</v>
      </c>
      <c r="I15" s="178">
        <f t="shared" ref="I15:I18" si="3">H15*D15*12</f>
        <v>29759.721600418983</v>
      </c>
      <c r="J15" s="181"/>
      <c r="K15" s="152"/>
      <c r="L15" s="152"/>
      <c r="M15"/>
    </row>
    <row r="16" spans="1:13" x14ac:dyDescent="0.2">
      <c r="A16" s="182" t="s">
        <v>37</v>
      </c>
      <c r="B16" s="167">
        <v>3</v>
      </c>
      <c r="C16" s="168">
        <v>80</v>
      </c>
      <c r="D16" s="169">
        <v>8</v>
      </c>
      <c r="E16" s="176">
        <v>379.27542996717784</v>
      </c>
      <c r="F16" s="177">
        <f>E16*106.22/100</f>
        <v>402.86636171113628</v>
      </c>
      <c r="G16" s="172">
        <f t="shared" si="0"/>
        <v>461.64456388479107</v>
      </c>
      <c r="H16" s="172">
        <f t="shared" si="2"/>
        <v>496.12941280698499</v>
      </c>
      <c r="I16" s="178">
        <f t="shared" si="3"/>
        <v>47628.423629470562</v>
      </c>
      <c r="J16" s="181"/>
      <c r="K16" s="152"/>
      <c r="L16" s="152"/>
      <c r="M16"/>
    </row>
    <row r="17" spans="1:13" x14ac:dyDescent="0.2">
      <c r="A17" s="182" t="s">
        <v>37</v>
      </c>
      <c r="B17" s="167">
        <v>3</v>
      </c>
      <c r="C17" s="183" t="s">
        <v>41</v>
      </c>
      <c r="D17" s="169">
        <v>0</v>
      </c>
      <c r="E17" s="176">
        <v>625.80445944584346</v>
      </c>
      <c r="F17" s="177">
        <f>E17*106.22/100</f>
        <v>664.72949682337492</v>
      </c>
      <c r="G17" s="172">
        <f t="shared" si="0"/>
        <v>761.71353040990539</v>
      </c>
      <c r="H17" s="172">
        <f t="shared" si="2"/>
        <v>818.61353113152541</v>
      </c>
      <c r="I17" s="178">
        <f t="shared" si="3"/>
        <v>0</v>
      </c>
      <c r="J17" s="181"/>
      <c r="K17" s="152"/>
      <c r="L17" s="152"/>
      <c r="M17"/>
    </row>
    <row r="18" spans="1:13" x14ac:dyDescent="0.2">
      <c r="A18" s="182" t="s">
        <v>46</v>
      </c>
      <c r="B18" s="167">
        <v>3</v>
      </c>
      <c r="C18" s="168" t="s">
        <v>38</v>
      </c>
      <c r="D18" s="169">
        <v>3</v>
      </c>
      <c r="E18" s="176">
        <v>625.80445944584346</v>
      </c>
      <c r="F18" s="177">
        <f>E18*106.22/100</f>
        <v>664.72949682337492</v>
      </c>
      <c r="G18" s="172">
        <f t="shared" si="0"/>
        <v>761.71353040990539</v>
      </c>
      <c r="H18" s="172">
        <f t="shared" si="2"/>
        <v>818.61353113152541</v>
      </c>
      <c r="I18" s="178">
        <f t="shared" si="3"/>
        <v>29470.087120734912</v>
      </c>
      <c r="J18" s="179">
        <f>SUM(I15:I18)</f>
        <v>106858.23235062446</v>
      </c>
      <c r="K18" s="152"/>
      <c r="L18" s="152"/>
      <c r="M18"/>
    </row>
    <row r="19" spans="1:13" x14ac:dyDescent="0.2">
      <c r="A19" s="182" t="s">
        <v>39</v>
      </c>
      <c r="B19" s="167" t="s">
        <v>38</v>
      </c>
      <c r="C19" s="168" t="s">
        <v>38</v>
      </c>
      <c r="D19" s="169">
        <v>47</v>
      </c>
      <c r="E19" s="176"/>
      <c r="F19" s="177"/>
      <c r="G19" s="172"/>
      <c r="H19" s="172"/>
      <c r="I19" s="178"/>
      <c r="J19" s="181"/>
      <c r="K19" s="152"/>
      <c r="L19" s="152"/>
      <c r="M19"/>
    </row>
    <row r="20" spans="1:13" x14ac:dyDescent="0.2">
      <c r="A20" s="182" t="s">
        <v>40</v>
      </c>
      <c r="B20" s="167">
        <v>1</v>
      </c>
      <c r="C20" s="168">
        <v>80</v>
      </c>
      <c r="D20" s="169">
        <v>11</v>
      </c>
      <c r="E20" s="176">
        <v>189.58647539564416</v>
      </c>
      <c r="F20" s="177">
        <f>E20*106.22/100</f>
        <v>201.37875416525324</v>
      </c>
      <c r="G20" s="172">
        <f t="shared" si="0"/>
        <v>230.75991439796368</v>
      </c>
      <c r="H20" s="172">
        <f t="shared" ref="H20:H22" si="4">G20*107.47/100</f>
        <v>247.99768000349155</v>
      </c>
      <c r="I20" s="178">
        <f t="shared" ref="I20:I22" si="5">H20*D20*12</f>
        <v>32735.693760460883</v>
      </c>
      <c r="J20" s="181"/>
      <c r="K20" s="152"/>
      <c r="L20" s="152"/>
      <c r="M20"/>
    </row>
    <row r="21" spans="1:13" x14ac:dyDescent="0.2">
      <c r="A21" s="141"/>
      <c r="B21" s="167">
        <v>3</v>
      </c>
      <c r="C21" s="168">
        <v>80</v>
      </c>
      <c r="D21" s="169">
        <v>3</v>
      </c>
      <c r="E21" s="176">
        <v>625.80445944584346</v>
      </c>
      <c r="F21" s="177">
        <f>E21*106.22/100</f>
        <v>664.72949682337492</v>
      </c>
      <c r="G21" s="172">
        <f t="shared" si="0"/>
        <v>761.71353040990539</v>
      </c>
      <c r="H21" s="172">
        <f t="shared" si="4"/>
        <v>818.61353113152541</v>
      </c>
      <c r="I21" s="178">
        <f t="shared" si="5"/>
        <v>29470.087120734912</v>
      </c>
      <c r="J21" s="181"/>
      <c r="K21" s="152"/>
      <c r="L21" s="152"/>
      <c r="M21"/>
    </row>
    <row r="22" spans="1:13" x14ac:dyDescent="0.2">
      <c r="A22" s="141"/>
      <c r="B22" s="167">
        <v>3</v>
      </c>
      <c r="C22" s="183" t="s">
        <v>41</v>
      </c>
      <c r="D22" s="169">
        <v>3</v>
      </c>
      <c r="E22" s="176">
        <v>1043.0074324097391</v>
      </c>
      <c r="F22" s="177">
        <f>E22*106.22/100</f>
        <v>1107.8824947056248</v>
      </c>
      <c r="G22" s="172">
        <f t="shared" si="0"/>
        <v>1269.5225506831755</v>
      </c>
      <c r="H22" s="172">
        <f t="shared" si="4"/>
        <v>1364.3558852192086</v>
      </c>
      <c r="I22" s="178">
        <f t="shared" si="5"/>
        <v>49116.811867891513</v>
      </c>
      <c r="J22" s="184">
        <f>SUM(I20:I22)</f>
        <v>111322.59274908731</v>
      </c>
      <c r="K22" s="152"/>
      <c r="L22" s="152"/>
      <c r="M22"/>
    </row>
    <row r="23" spans="1:13" x14ac:dyDescent="0.2">
      <c r="A23" s="182" t="s">
        <v>53</v>
      </c>
      <c r="B23" s="185"/>
      <c r="C23" s="168"/>
      <c r="D23" s="169"/>
      <c r="E23" s="176"/>
      <c r="F23" s="177"/>
      <c r="G23" s="172"/>
      <c r="H23" s="172"/>
      <c r="I23" s="178"/>
      <c r="J23" s="181"/>
      <c r="K23" s="152"/>
      <c r="L23" s="152"/>
      <c r="M23"/>
    </row>
    <row r="24" spans="1:13" x14ac:dyDescent="0.2">
      <c r="A24" s="141"/>
      <c r="B24" s="167">
        <v>1</v>
      </c>
      <c r="C24" s="168">
        <v>40</v>
      </c>
      <c r="D24" s="186">
        <v>1</v>
      </c>
      <c r="E24" s="176">
        <v>0</v>
      </c>
      <c r="F24" s="177">
        <f t="shared" ref="F24:F29" si="6">E24*106.22/100</f>
        <v>0</v>
      </c>
      <c r="G24" s="172"/>
      <c r="H24" s="172"/>
      <c r="I24" s="178">
        <f t="shared" ref="I24:I29" si="7">H24*D24*12</f>
        <v>0</v>
      </c>
      <c r="J24" s="181"/>
      <c r="K24" s="152"/>
      <c r="L24" s="152"/>
      <c r="M24"/>
    </row>
    <row r="25" spans="1:13" x14ac:dyDescent="0.2">
      <c r="A25" s="141"/>
      <c r="B25" s="167">
        <v>1</v>
      </c>
      <c r="C25" s="168">
        <v>80</v>
      </c>
      <c r="D25" s="169">
        <v>46</v>
      </c>
      <c r="E25" s="176">
        <v>912.144477859164</v>
      </c>
      <c r="F25" s="177">
        <f t="shared" si="6"/>
        <v>968.87986438200403</v>
      </c>
      <c r="G25" s="172">
        <f t="shared" si="0"/>
        <v>1110.2394365953385</v>
      </c>
      <c r="H25" s="172">
        <f t="shared" ref="H25:H29" si="8">G25*107.47/100</f>
        <v>1193.1743225090102</v>
      </c>
      <c r="I25" s="178">
        <f t="shared" si="7"/>
        <v>658632.22602497367</v>
      </c>
      <c r="J25" s="181"/>
      <c r="K25" s="152"/>
      <c r="L25" s="152"/>
      <c r="M25"/>
    </row>
    <row r="26" spans="1:13" x14ac:dyDescent="0.2">
      <c r="A26" s="141"/>
      <c r="B26" s="167">
        <v>3</v>
      </c>
      <c r="C26" s="168">
        <v>40</v>
      </c>
      <c r="D26" s="169">
        <v>19</v>
      </c>
      <c r="E26" s="176">
        <v>1268.1300000000001</v>
      </c>
      <c r="F26" s="177">
        <f t="shared" si="6"/>
        <v>1347.0076860000001</v>
      </c>
      <c r="G26" s="172">
        <f t="shared" si="0"/>
        <v>1543.5361073874001</v>
      </c>
      <c r="H26" s="172">
        <f t="shared" si="8"/>
        <v>1658.8382546092389</v>
      </c>
      <c r="I26" s="178">
        <f t="shared" si="7"/>
        <v>378215.12205090647</v>
      </c>
      <c r="J26" s="181"/>
      <c r="K26" s="152"/>
      <c r="L26" s="152"/>
      <c r="M26"/>
    </row>
    <row r="27" spans="1:13" x14ac:dyDescent="0.2">
      <c r="A27" s="141"/>
      <c r="B27" s="167">
        <v>3</v>
      </c>
      <c r="C27" s="168">
        <v>80</v>
      </c>
      <c r="D27" s="169">
        <v>51</v>
      </c>
      <c r="E27" s="176">
        <v>1536.0654913670703</v>
      </c>
      <c r="F27" s="177">
        <f t="shared" si="6"/>
        <v>1631.6087649301021</v>
      </c>
      <c r="G27" s="172">
        <f t="shared" si="0"/>
        <v>1869.6604837334039</v>
      </c>
      <c r="H27" s="172">
        <f t="shared" si="8"/>
        <v>2009.324121868289</v>
      </c>
      <c r="I27" s="178">
        <f t="shared" si="7"/>
        <v>1229706.3625833928</v>
      </c>
      <c r="J27" s="181"/>
      <c r="K27" s="152"/>
      <c r="L27" s="152"/>
      <c r="M27"/>
    </row>
    <row r="28" spans="1:13" x14ac:dyDescent="0.2">
      <c r="A28" s="141"/>
      <c r="B28" s="167">
        <v>3</v>
      </c>
      <c r="C28" s="168">
        <v>150</v>
      </c>
      <c r="D28" s="169">
        <v>13</v>
      </c>
      <c r="E28" s="176">
        <v>2605.2800000000002</v>
      </c>
      <c r="F28" s="177">
        <f t="shared" si="6"/>
        <v>2767.3284160000003</v>
      </c>
      <c r="G28" s="172">
        <f t="shared" si="0"/>
        <v>3171.0816318944003</v>
      </c>
      <c r="H28" s="172">
        <f t="shared" si="8"/>
        <v>3407.9614297969119</v>
      </c>
      <c r="I28" s="178">
        <f t="shared" si="7"/>
        <v>531641.9830483183</v>
      </c>
      <c r="J28" s="181"/>
      <c r="K28" s="152"/>
      <c r="L28" s="152"/>
      <c r="M28"/>
    </row>
    <row r="29" spans="1:13" x14ac:dyDescent="0.2">
      <c r="A29" s="182" t="s">
        <v>9</v>
      </c>
      <c r="B29" s="185"/>
      <c r="C29" s="187"/>
      <c r="D29" s="169">
        <v>13</v>
      </c>
      <c r="E29" s="176">
        <v>4954.868154259133</v>
      </c>
      <c r="F29" s="177">
        <f t="shared" si="6"/>
        <v>5263.0609534540508</v>
      </c>
      <c r="G29" s="172">
        <f t="shared" si="0"/>
        <v>6030.9415465629972</v>
      </c>
      <c r="H29" s="172">
        <f t="shared" si="8"/>
        <v>6481.4528800912531</v>
      </c>
      <c r="I29" s="178">
        <f t="shared" si="7"/>
        <v>1011106.6492942355</v>
      </c>
      <c r="J29" s="184">
        <f>SUM(I24:I29)</f>
        <v>3809302.3430018267</v>
      </c>
      <c r="K29" s="152"/>
      <c r="L29" s="152"/>
      <c r="M29"/>
    </row>
    <row r="30" spans="1:13" x14ac:dyDescent="0.2">
      <c r="A30" s="182"/>
      <c r="B30" s="185"/>
      <c r="C30" s="187"/>
      <c r="D30" s="169"/>
      <c r="E30" s="176"/>
      <c r="F30" s="177"/>
      <c r="G30" s="172"/>
      <c r="H30" s="172"/>
      <c r="I30" s="178"/>
      <c r="J30" s="181"/>
      <c r="K30" s="152"/>
      <c r="L30" s="152"/>
      <c r="M30"/>
    </row>
    <row r="31" spans="1:13" x14ac:dyDescent="0.2">
      <c r="A31" s="182" t="s">
        <v>10</v>
      </c>
      <c r="B31" s="185"/>
      <c r="C31" s="187"/>
      <c r="D31" s="169"/>
      <c r="E31" s="176"/>
      <c r="F31" s="177"/>
      <c r="G31" s="172"/>
      <c r="H31" s="172"/>
      <c r="I31" s="178"/>
      <c r="J31" s="181"/>
      <c r="K31" s="152"/>
      <c r="L31" s="152"/>
      <c r="M31"/>
    </row>
    <row r="32" spans="1:13" x14ac:dyDescent="0.2">
      <c r="A32" s="141"/>
      <c r="B32" s="167">
        <v>1</v>
      </c>
      <c r="C32" s="187">
        <v>80</v>
      </c>
      <c r="D32" s="169">
        <v>2</v>
      </c>
      <c r="E32" s="176">
        <v>912.144477859164</v>
      </c>
      <c r="F32" s="177">
        <f>E32*106.22/100</f>
        <v>968.87986438200403</v>
      </c>
      <c r="G32" s="172">
        <f t="shared" si="0"/>
        <v>1110.2394365953385</v>
      </c>
      <c r="H32" s="172">
        <f t="shared" ref="H32:H36" si="9">G32*107.47/100</f>
        <v>1193.1743225090102</v>
      </c>
      <c r="I32" s="178">
        <f t="shared" ref="I32:I36" si="10">H32*D32*12</f>
        <v>28636.183740216242</v>
      </c>
      <c r="J32" s="181"/>
      <c r="K32" s="152"/>
      <c r="L32" s="152"/>
      <c r="M32"/>
    </row>
    <row r="33" spans="1:15" x14ac:dyDescent="0.2">
      <c r="A33" s="141"/>
      <c r="B33" s="167">
        <v>3</v>
      </c>
      <c r="C33" s="187">
        <v>40</v>
      </c>
      <c r="D33" s="169">
        <v>8</v>
      </c>
      <c r="E33" s="176">
        <v>1268.1300000000001</v>
      </c>
      <c r="F33" s="177">
        <f>E33*106.22/100</f>
        <v>1347.0076860000001</v>
      </c>
      <c r="G33" s="172">
        <f t="shared" si="0"/>
        <v>1543.5361073874001</v>
      </c>
      <c r="H33" s="172">
        <f t="shared" si="9"/>
        <v>1658.8382546092389</v>
      </c>
      <c r="I33" s="178">
        <f t="shared" si="10"/>
        <v>159248.47244248693</v>
      </c>
      <c r="J33" s="181"/>
      <c r="K33" s="152"/>
      <c r="L33" s="152"/>
      <c r="M33"/>
    </row>
    <row r="34" spans="1:15" x14ac:dyDescent="0.2">
      <c r="A34" s="141"/>
      <c r="B34" s="167">
        <v>3</v>
      </c>
      <c r="C34" s="187">
        <v>80</v>
      </c>
      <c r="D34" s="169">
        <v>34</v>
      </c>
      <c r="E34" s="176">
        <v>1536.07</v>
      </c>
      <c r="F34" s="177">
        <f>E34*106.22/100</f>
        <v>1631.613554</v>
      </c>
      <c r="G34" s="172">
        <f t="shared" si="0"/>
        <v>1869.6659715286003</v>
      </c>
      <c r="H34" s="172">
        <f t="shared" si="9"/>
        <v>2009.3300196017867</v>
      </c>
      <c r="I34" s="178">
        <f t="shared" si="10"/>
        <v>819806.64799752901</v>
      </c>
      <c r="J34" s="181"/>
      <c r="K34" s="152"/>
      <c r="L34" s="152"/>
      <c r="M34"/>
    </row>
    <row r="35" spans="1:15" x14ac:dyDescent="0.2">
      <c r="A35" s="141"/>
      <c r="B35" s="167">
        <v>3</v>
      </c>
      <c r="C35" s="187">
        <v>150</v>
      </c>
      <c r="D35" s="169">
        <v>16</v>
      </c>
      <c r="E35" s="176">
        <v>2605.2800000000002</v>
      </c>
      <c r="F35" s="177">
        <f>E35*106.22/100</f>
        <v>2767.3284160000003</v>
      </c>
      <c r="G35" s="172">
        <f t="shared" si="0"/>
        <v>3171.0816318944003</v>
      </c>
      <c r="H35" s="172">
        <f t="shared" si="9"/>
        <v>3407.9614297969119</v>
      </c>
      <c r="I35" s="178">
        <f t="shared" si="10"/>
        <v>654328.59452100703</v>
      </c>
      <c r="J35" s="181"/>
      <c r="K35" s="152"/>
      <c r="L35" s="152"/>
      <c r="M35"/>
    </row>
    <row r="36" spans="1:15" x14ac:dyDescent="0.2">
      <c r="A36" s="182" t="s">
        <v>9</v>
      </c>
      <c r="B36" s="167"/>
      <c r="C36" s="187"/>
      <c r="D36" s="169">
        <v>18</v>
      </c>
      <c r="E36" s="176">
        <v>4954.868154259133</v>
      </c>
      <c r="F36" s="177">
        <f>E36*106.22/100</f>
        <v>5263.0609534540508</v>
      </c>
      <c r="G36" s="172">
        <f t="shared" si="0"/>
        <v>6030.9415465629972</v>
      </c>
      <c r="H36" s="172">
        <f t="shared" si="9"/>
        <v>6481.4528800912531</v>
      </c>
      <c r="I36" s="178">
        <f t="shared" si="10"/>
        <v>1399993.8220997106</v>
      </c>
      <c r="J36" s="184">
        <f>SUM(I32:I36)</f>
        <v>3062013.7208009502</v>
      </c>
      <c r="K36" s="152"/>
      <c r="L36" s="152"/>
      <c r="M36"/>
    </row>
    <row r="37" spans="1:15" x14ac:dyDescent="0.2">
      <c r="A37" s="141"/>
      <c r="B37" s="167"/>
      <c r="C37" s="187"/>
      <c r="D37" s="169"/>
      <c r="E37" s="176"/>
      <c r="F37" s="177"/>
      <c r="G37" s="172"/>
      <c r="H37" s="172"/>
      <c r="I37" s="178"/>
      <c r="J37" s="181"/>
      <c r="K37" s="152"/>
      <c r="L37" s="152"/>
      <c r="M37"/>
    </row>
    <row r="38" spans="1:15" x14ac:dyDescent="0.2">
      <c r="A38" s="182" t="s">
        <v>11</v>
      </c>
      <c r="B38" s="167"/>
      <c r="C38" s="187"/>
      <c r="D38" s="169"/>
      <c r="E38" s="176"/>
      <c r="F38" s="177"/>
      <c r="G38" s="172"/>
      <c r="H38" s="172"/>
      <c r="I38" s="178"/>
      <c r="J38" s="181"/>
      <c r="K38" s="152"/>
      <c r="L38" s="152"/>
      <c r="M38"/>
    </row>
    <row r="39" spans="1:15" x14ac:dyDescent="0.2">
      <c r="A39" s="141"/>
      <c r="B39" s="167">
        <v>1</v>
      </c>
      <c r="C39" s="187">
        <v>80</v>
      </c>
      <c r="D39" s="169">
        <v>0</v>
      </c>
      <c r="E39" s="176">
        <v>912.144477859164</v>
      </c>
      <c r="F39" s="177">
        <f>E39*106.22/100</f>
        <v>968.87986438200403</v>
      </c>
      <c r="G39" s="172">
        <v>1112.67</v>
      </c>
      <c r="H39" s="172">
        <f t="shared" ref="H39:H42" si="11">G39*107.47/100</f>
        <v>1195.7864489999999</v>
      </c>
      <c r="I39" s="178"/>
      <c r="J39" s="181"/>
      <c r="K39" s="152"/>
      <c r="L39" s="152"/>
      <c r="M39"/>
    </row>
    <row r="40" spans="1:15" x14ac:dyDescent="0.2">
      <c r="A40" s="141"/>
      <c r="B40" s="167">
        <v>3</v>
      </c>
      <c r="C40" s="187">
        <v>80</v>
      </c>
      <c r="D40" s="169">
        <v>0</v>
      </c>
      <c r="E40" s="176">
        <v>1395.1214910818637</v>
      </c>
      <c r="F40" s="177">
        <f>E40*106.22/100</f>
        <v>1481.8980478271558</v>
      </c>
      <c r="G40" s="172">
        <v>1698.11</v>
      </c>
      <c r="H40" s="172">
        <f t="shared" si="11"/>
        <v>1824.958817</v>
      </c>
      <c r="I40" s="178"/>
      <c r="J40" s="181"/>
      <c r="K40" s="152"/>
      <c r="L40" s="152"/>
      <c r="M40"/>
    </row>
    <row r="41" spans="1:15" x14ac:dyDescent="0.2">
      <c r="A41" s="141"/>
      <c r="B41" s="167">
        <v>3</v>
      </c>
      <c r="C41" s="187">
        <v>150</v>
      </c>
      <c r="D41" s="169">
        <v>0</v>
      </c>
      <c r="E41" s="176">
        <v>2584.3268810772743</v>
      </c>
      <c r="F41" s="177">
        <f>E41*106.22/100</f>
        <v>2745.0720130802806</v>
      </c>
      <c r="G41" s="172">
        <v>3145.58</v>
      </c>
      <c r="H41" s="172">
        <f t="shared" si="11"/>
        <v>3380.554826</v>
      </c>
      <c r="I41" s="178"/>
      <c r="J41" s="181"/>
      <c r="K41" s="152"/>
      <c r="L41" s="152"/>
      <c r="M41"/>
    </row>
    <row r="42" spans="1:15" ht="13.5" thickBot="1" x14ac:dyDescent="0.25">
      <c r="A42" s="182" t="s">
        <v>9</v>
      </c>
      <c r="B42" s="188"/>
      <c r="C42" s="189"/>
      <c r="D42" s="190">
        <v>3</v>
      </c>
      <c r="E42" s="191">
        <v>4954.868154259133</v>
      </c>
      <c r="F42" s="192">
        <f>E42*106.22/100</f>
        <v>5263.0609534540508</v>
      </c>
      <c r="G42" s="172">
        <f t="shared" si="0"/>
        <v>6030.9415465629972</v>
      </c>
      <c r="H42" s="172">
        <f t="shared" si="11"/>
        <v>6481.4528800912531</v>
      </c>
      <c r="I42" s="193">
        <f>H42*D42*12</f>
        <v>233332.30368328514</v>
      </c>
      <c r="J42" s="194">
        <f>I42</f>
        <v>233332.30368328514</v>
      </c>
      <c r="K42" s="152"/>
      <c r="L42" s="152"/>
      <c r="M42"/>
    </row>
    <row r="43" spans="1:15" x14ac:dyDescent="0.2">
      <c r="A43" s="141"/>
      <c r="B43" s="195"/>
      <c r="C43" s="195"/>
      <c r="D43" s="195"/>
      <c r="E43" s="195"/>
      <c r="F43" s="196"/>
      <c r="G43" s="196"/>
      <c r="H43" s="196"/>
      <c r="I43" s="196"/>
      <c r="J43" s="187"/>
      <c r="K43" s="187"/>
      <c r="L43" s="139"/>
      <c r="M43" s="14"/>
    </row>
    <row r="44" spans="1:15" ht="13.5" thickBot="1" x14ac:dyDescent="0.25">
      <c r="A44" s="141"/>
      <c r="B44" s="195"/>
      <c r="C44" s="195"/>
      <c r="D44" s="195"/>
      <c r="E44" s="197" t="s">
        <v>54</v>
      </c>
      <c r="F44" s="197" t="s">
        <v>99</v>
      </c>
      <c r="G44" s="142"/>
      <c r="H44" s="142" t="s">
        <v>109</v>
      </c>
      <c r="I44" s="141"/>
      <c r="J44" s="195"/>
      <c r="K44" s="195"/>
      <c r="L44" s="139"/>
      <c r="M44" s="5"/>
    </row>
    <row r="45" spans="1:15" ht="36.75" thickBot="1" x14ac:dyDescent="0.25">
      <c r="A45" s="198"/>
      <c r="B45" s="199" t="s">
        <v>30</v>
      </c>
      <c r="C45" s="200" t="s">
        <v>12</v>
      </c>
      <c r="D45" s="201" t="s">
        <v>25</v>
      </c>
      <c r="E45" s="202" t="s">
        <v>55</v>
      </c>
      <c r="F45" s="202" t="s">
        <v>95</v>
      </c>
      <c r="G45" s="202" t="s">
        <v>127</v>
      </c>
      <c r="H45" s="202" t="s">
        <v>128</v>
      </c>
      <c r="I45" s="203" t="s">
        <v>86</v>
      </c>
      <c r="J45" s="152"/>
      <c r="K45" s="152"/>
      <c r="L45" s="152"/>
      <c r="M45"/>
    </row>
    <row r="46" spans="1:15" x14ac:dyDescent="0.2">
      <c r="A46" s="204" t="s">
        <v>34</v>
      </c>
      <c r="B46" s="205"/>
      <c r="C46" s="206"/>
      <c r="D46" s="207"/>
      <c r="E46" s="208"/>
      <c r="F46" s="208"/>
      <c r="G46" s="327"/>
      <c r="H46" s="209"/>
      <c r="I46" s="152"/>
      <c r="J46" s="152"/>
      <c r="K46" s="152"/>
      <c r="L46" s="152"/>
      <c r="M46"/>
    </row>
    <row r="47" spans="1:15" x14ac:dyDescent="0.2">
      <c r="A47" s="210" t="s">
        <v>21</v>
      </c>
      <c r="B47" s="211">
        <v>368</v>
      </c>
      <c r="C47" s="212">
        <v>50</v>
      </c>
      <c r="D47" s="213" t="s">
        <v>26</v>
      </c>
      <c r="E47" s="214">
        <v>1.0176299999999998</v>
      </c>
      <c r="F47" s="214">
        <f>E47*106.22/100</f>
        <v>1.0809265859999997</v>
      </c>
      <c r="G47" s="328">
        <v>123.76</v>
      </c>
      <c r="H47" s="329">
        <f>G47*107.47/100</f>
        <v>133.00487200000001</v>
      </c>
      <c r="I47" s="333">
        <f>(((C47*H47)*B47)*12)/100</f>
        <v>293674.75737600005</v>
      </c>
      <c r="J47" s="152"/>
      <c r="K47" s="152"/>
      <c r="L47" s="152"/>
      <c r="M47"/>
      <c r="O47" s="3"/>
    </row>
    <row r="48" spans="1:15" x14ac:dyDescent="0.2">
      <c r="A48" s="215" t="s">
        <v>22</v>
      </c>
      <c r="B48" s="211">
        <v>320</v>
      </c>
      <c r="C48" s="216">
        <v>299</v>
      </c>
      <c r="D48" s="217" t="s">
        <v>27</v>
      </c>
      <c r="E48" s="214">
        <v>1.3342259999999999</v>
      </c>
      <c r="F48" s="214">
        <f t="shared" ref="F48:F50" si="12">E48*106.22/100</f>
        <v>1.4172148571999998</v>
      </c>
      <c r="G48" s="328">
        <v>161.57</v>
      </c>
      <c r="H48" s="329">
        <f t="shared" ref="H48:H50" si="13">G48*107.47/100</f>
        <v>173.63927899999999</v>
      </c>
      <c r="I48" s="333">
        <f t="shared" ref="I48:I50" si="14">(((C48*H48)*B48)*12)/100</f>
        <v>1993656.7457664001</v>
      </c>
      <c r="J48" s="152"/>
      <c r="K48" s="152"/>
      <c r="L48" s="152"/>
      <c r="M48"/>
    </row>
    <row r="49" spans="1:15" x14ac:dyDescent="0.2">
      <c r="A49" s="215" t="s">
        <v>23</v>
      </c>
      <c r="B49" s="211">
        <v>276</v>
      </c>
      <c r="C49" s="216">
        <v>649</v>
      </c>
      <c r="D49" s="217" t="s">
        <v>28</v>
      </c>
      <c r="E49" s="214">
        <v>1.662129</v>
      </c>
      <c r="F49" s="214">
        <f t="shared" si="12"/>
        <v>1.7655134237999999</v>
      </c>
      <c r="G49" s="328">
        <v>202.82</v>
      </c>
      <c r="H49" s="329">
        <f t="shared" si="13"/>
        <v>217.970654</v>
      </c>
      <c r="I49" s="333">
        <f t="shared" si="14"/>
        <v>4685253.0512515195</v>
      </c>
      <c r="J49" s="152"/>
      <c r="K49" s="152"/>
      <c r="L49" s="152"/>
      <c r="M49"/>
    </row>
    <row r="50" spans="1:15" x14ac:dyDescent="0.2">
      <c r="A50" s="215" t="s">
        <v>24</v>
      </c>
      <c r="B50" s="211">
        <v>220</v>
      </c>
      <c r="C50" s="216">
        <v>513</v>
      </c>
      <c r="D50" s="217" t="s">
        <v>29</v>
      </c>
      <c r="E50" s="214">
        <v>1.990032</v>
      </c>
      <c r="F50" s="214">
        <f t="shared" si="12"/>
        <v>2.1138119904000003</v>
      </c>
      <c r="G50" s="328">
        <v>241.78</v>
      </c>
      <c r="H50" s="329">
        <f t="shared" si="13"/>
        <v>259.84096599999998</v>
      </c>
      <c r="I50" s="333">
        <f t="shared" si="14"/>
        <v>3519078.1707311994</v>
      </c>
      <c r="J50" s="152"/>
      <c r="K50" s="152"/>
      <c r="L50" s="152"/>
      <c r="M50"/>
    </row>
    <row r="51" spans="1:15" x14ac:dyDescent="0.2">
      <c r="A51" s="215"/>
      <c r="B51" s="211"/>
      <c r="C51" s="216">
        <f>SUM(C47:C50)</f>
        <v>1511</v>
      </c>
      <c r="D51" s="217"/>
      <c r="E51" s="214"/>
      <c r="F51" s="214"/>
      <c r="G51" s="328"/>
      <c r="H51" s="328"/>
      <c r="I51" s="333"/>
      <c r="J51" s="152"/>
      <c r="K51" s="152"/>
      <c r="L51" s="152"/>
      <c r="M51"/>
    </row>
    <row r="52" spans="1:15" x14ac:dyDescent="0.2">
      <c r="A52" s="215"/>
      <c r="B52" s="211"/>
      <c r="C52" s="216"/>
      <c r="D52" s="217"/>
      <c r="E52" s="214"/>
      <c r="F52" s="214"/>
      <c r="G52" s="328"/>
      <c r="H52" s="328"/>
      <c r="I52" s="333"/>
      <c r="J52" s="152"/>
      <c r="K52" s="152"/>
      <c r="L52" s="152"/>
      <c r="M52"/>
    </row>
    <row r="53" spans="1:15" x14ac:dyDescent="0.2">
      <c r="A53" s="218" t="s">
        <v>31</v>
      </c>
      <c r="B53" s="219"/>
      <c r="C53" s="220"/>
      <c r="D53" s="217"/>
      <c r="E53" s="214"/>
      <c r="F53" s="214"/>
      <c r="G53" s="328"/>
      <c r="H53" s="328"/>
      <c r="I53" s="333"/>
      <c r="J53" s="152"/>
      <c r="K53" s="152"/>
      <c r="L53" s="152"/>
      <c r="M53"/>
    </row>
    <row r="54" spans="1:15" x14ac:dyDescent="0.2">
      <c r="A54" s="210" t="s">
        <v>21</v>
      </c>
      <c r="B54" s="219">
        <v>579</v>
      </c>
      <c r="C54" s="212">
        <v>50</v>
      </c>
      <c r="D54" s="213" t="s">
        <v>26</v>
      </c>
      <c r="E54" s="214">
        <v>1.03</v>
      </c>
      <c r="F54" s="214">
        <f t="shared" ref="F54:F57" si="15">E54*106.22/100</f>
        <v>1.094066</v>
      </c>
      <c r="G54" s="328">
        <v>124</v>
      </c>
      <c r="H54" s="329">
        <f t="shared" ref="H54:H57" si="16">G54*107.47/100</f>
        <v>133.2628</v>
      </c>
      <c r="I54" s="333">
        <f>(((C54*H54)*B54)*12)/100</f>
        <v>462954.96720000001</v>
      </c>
      <c r="J54" s="152"/>
      <c r="K54" s="152"/>
      <c r="L54" s="152"/>
      <c r="M54"/>
    </row>
    <row r="55" spans="1:15" x14ac:dyDescent="0.2">
      <c r="A55" s="215" t="s">
        <v>22</v>
      </c>
      <c r="B55" s="219">
        <v>579</v>
      </c>
      <c r="C55" s="216">
        <v>299</v>
      </c>
      <c r="D55" s="217" t="s">
        <v>27</v>
      </c>
      <c r="E55" s="214">
        <v>1.3292509199999998</v>
      </c>
      <c r="F55" s="214">
        <f t="shared" si="15"/>
        <v>1.4119303272239998</v>
      </c>
      <c r="G55" s="328">
        <v>161.57</v>
      </c>
      <c r="H55" s="329">
        <f t="shared" si="16"/>
        <v>173.63927899999999</v>
      </c>
      <c r="I55" s="333">
        <f t="shared" ref="I55:I57" si="17">(((C55*H55)*B55)*12)/100</f>
        <v>3607272.67437108</v>
      </c>
      <c r="J55" s="152"/>
      <c r="K55" s="152"/>
      <c r="L55" s="152"/>
      <c r="M55"/>
    </row>
    <row r="56" spans="1:15" x14ac:dyDescent="0.2">
      <c r="A56" s="215" t="s">
        <v>23</v>
      </c>
      <c r="B56" s="219">
        <f>B55*67/100</f>
        <v>387.93</v>
      </c>
      <c r="C56" s="216">
        <v>249</v>
      </c>
      <c r="D56" s="217" t="s">
        <v>28</v>
      </c>
      <c r="E56" s="214">
        <v>1.77</v>
      </c>
      <c r="F56" s="214">
        <f t="shared" si="15"/>
        <v>1.8800939999999999</v>
      </c>
      <c r="G56" s="328">
        <v>215.43</v>
      </c>
      <c r="H56" s="329">
        <f t="shared" si="16"/>
        <v>231.52262099999999</v>
      </c>
      <c r="I56" s="333">
        <f t="shared" si="17"/>
        <v>2683659.3624921567</v>
      </c>
      <c r="J56" s="152"/>
      <c r="K56" s="152"/>
      <c r="L56" s="152"/>
      <c r="M56"/>
    </row>
    <row r="57" spans="1:15" x14ac:dyDescent="0.2">
      <c r="A57" s="215" t="s">
        <v>24</v>
      </c>
      <c r="B57" s="219">
        <f>B54*6/100</f>
        <v>34.74</v>
      </c>
      <c r="C57" s="216">
        <v>602</v>
      </c>
      <c r="D57" s="217" t="s">
        <v>29</v>
      </c>
      <c r="E57" s="214">
        <v>2.13</v>
      </c>
      <c r="F57" s="214">
        <f t="shared" si="15"/>
        <v>2.262486</v>
      </c>
      <c r="G57" s="328">
        <v>257.83</v>
      </c>
      <c r="H57" s="329">
        <f t="shared" si="16"/>
        <v>277.089901</v>
      </c>
      <c r="I57" s="333">
        <f t="shared" si="17"/>
        <v>695389.69233185763</v>
      </c>
      <c r="J57" s="152"/>
      <c r="K57" s="152"/>
      <c r="L57" s="152"/>
      <c r="M57"/>
    </row>
    <row r="58" spans="1:15" x14ac:dyDescent="0.2">
      <c r="A58" s="215"/>
      <c r="B58" s="219"/>
      <c r="C58" s="216">
        <f>SUM(C54:C57)</f>
        <v>1200</v>
      </c>
      <c r="D58" s="217"/>
      <c r="E58" s="214"/>
      <c r="F58" s="214"/>
      <c r="G58" s="328"/>
      <c r="H58" s="329"/>
      <c r="I58" s="332"/>
      <c r="J58" s="152"/>
      <c r="K58" s="152"/>
      <c r="L58" s="152"/>
      <c r="M58"/>
    </row>
    <row r="59" spans="1:15" x14ac:dyDescent="0.2">
      <c r="A59" s="218" t="s">
        <v>32</v>
      </c>
      <c r="B59" s="219"/>
      <c r="C59" s="220"/>
      <c r="D59" s="217"/>
      <c r="E59" s="214"/>
      <c r="F59" s="214"/>
      <c r="G59" s="328"/>
      <c r="H59" s="329"/>
      <c r="I59" s="332"/>
      <c r="J59" s="152"/>
      <c r="K59" s="152"/>
      <c r="L59" s="152"/>
      <c r="M59"/>
    </row>
    <row r="60" spans="1:15" x14ac:dyDescent="0.2">
      <c r="A60" s="210" t="s">
        <v>21</v>
      </c>
      <c r="B60" s="219">
        <v>5</v>
      </c>
      <c r="C60" s="216">
        <v>50</v>
      </c>
      <c r="D60" s="213" t="s">
        <v>26</v>
      </c>
      <c r="E60" s="214">
        <v>1.0751554932</v>
      </c>
      <c r="F60" s="214">
        <f t="shared" ref="F60:F63" si="18">E60*106.22/100</f>
        <v>1.1420301648770401</v>
      </c>
      <c r="G60" s="328">
        <v>130.63</v>
      </c>
      <c r="H60" s="329">
        <f t="shared" ref="H60:H63" si="19">G60*107.47/100</f>
        <v>140.38806099999999</v>
      </c>
      <c r="I60" s="333">
        <f>(((C60*H60)*B60)*12)/100</f>
        <v>4211.6418299999996</v>
      </c>
      <c r="J60" s="152"/>
      <c r="K60" s="152"/>
      <c r="L60" s="152"/>
      <c r="M60"/>
      <c r="O60" s="3"/>
    </row>
    <row r="61" spans="1:15" x14ac:dyDescent="0.2">
      <c r="A61" s="215" t="s">
        <v>22</v>
      </c>
      <c r="B61" s="219">
        <v>5</v>
      </c>
      <c r="C61" s="216">
        <v>299</v>
      </c>
      <c r="D61" s="217" t="s">
        <v>27</v>
      </c>
      <c r="E61" s="214">
        <v>1.3771654631999999</v>
      </c>
      <c r="F61" s="214">
        <f t="shared" si="18"/>
        <v>1.4628251550110398</v>
      </c>
      <c r="G61" s="328">
        <v>167.3</v>
      </c>
      <c r="H61" s="329">
        <f t="shared" si="19"/>
        <v>179.79731000000001</v>
      </c>
      <c r="I61" s="333">
        <f t="shared" ref="I61:I63" si="20">(((C61*H61)*B61)*12)/100</f>
        <v>32255.637414000008</v>
      </c>
      <c r="J61" s="152"/>
      <c r="K61" s="152"/>
      <c r="L61" s="152"/>
      <c r="M61"/>
    </row>
    <row r="62" spans="1:15" x14ac:dyDescent="0.2">
      <c r="A62" s="215" t="s">
        <v>23</v>
      </c>
      <c r="B62" s="219">
        <v>5</v>
      </c>
      <c r="C62" s="216">
        <v>249</v>
      </c>
      <c r="D62" s="217" t="s">
        <v>28</v>
      </c>
      <c r="E62" s="214">
        <v>1.8483010163999998</v>
      </c>
      <c r="F62" s="214">
        <f t="shared" si="18"/>
        <v>1.9632653396200797</v>
      </c>
      <c r="G62" s="328">
        <v>223.45</v>
      </c>
      <c r="H62" s="329">
        <f t="shared" si="19"/>
        <v>240.14171499999998</v>
      </c>
      <c r="I62" s="333">
        <f t="shared" si="20"/>
        <v>35877.172221000001</v>
      </c>
      <c r="J62" s="152"/>
      <c r="K62" s="152"/>
      <c r="L62" s="152"/>
      <c r="M62"/>
    </row>
    <row r="63" spans="1:15" x14ac:dyDescent="0.2">
      <c r="A63" s="215" t="s">
        <v>24</v>
      </c>
      <c r="B63" s="219">
        <v>5</v>
      </c>
      <c r="C63" s="216">
        <v>602</v>
      </c>
      <c r="D63" s="217" t="s">
        <v>29</v>
      </c>
      <c r="E63" s="214">
        <v>2.1986325816000001</v>
      </c>
      <c r="F63" s="214">
        <f t="shared" si="18"/>
        <v>2.3353875281755201</v>
      </c>
      <c r="G63" s="328">
        <v>266.99</v>
      </c>
      <c r="H63" s="329">
        <f t="shared" si="19"/>
        <v>286.93415299999998</v>
      </c>
      <c r="I63" s="333">
        <f t="shared" si="20"/>
        <v>103640.6160636</v>
      </c>
      <c r="J63" s="152"/>
      <c r="K63" s="152"/>
      <c r="L63" s="152"/>
      <c r="M63"/>
    </row>
    <row r="64" spans="1:15" x14ac:dyDescent="0.2">
      <c r="A64" s="215"/>
      <c r="B64" s="219"/>
      <c r="C64" s="216"/>
      <c r="D64" s="217"/>
      <c r="E64" s="214"/>
      <c r="F64" s="214"/>
      <c r="G64" s="328"/>
      <c r="H64" s="329"/>
      <c r="I64" s="332"/>
      <c r="J64" s="152"/>
      <c r="K64" s="152"/>
      <c r="L64" s="152"/>
      <c r="M64"/>
    </row>
    <row r="65" spans="1:13" x14ac:dyDescent="0.2">
      <c r="A65" s="218" t="s">
        <v>42</v>
      </c>
      <c r="B65" s="219"/>
      <c r="C65" s="216"/>
      <c r="D65" s="217"/>
      <c r="E65" s="214"/>
      <c r="F65" s="214"/>
      <c r="G65" s="328"/>
      <c r="H65" s="329"/>
      <c r="I65" s="332"/>
      <c r="J65" s="152"/>
      <c r="K65" s="152"/>
      <c r="L65" s="152"/>
      <c r="M65"/>
    </row>
    <row r="66" spans="1:13" x14ac:dyDescent="0.2">
      <c r="A66" s="215" t="s">
        <v>44</v>
      </c>
      <c r="B66" s="219">
        <f>$D$15</f>
        <v>10</v>
      </c>
      <c r="C66" s="216">
        <f>1351*12</f>
        <v>16212</v>
      </c>
      <c r="D66" s="217"/>
      <c r="E66" s="214">
        <v>1.4391</v>
      </c>
      <c r="F66" s="214">
        <f t="shared" ref="F66:F73" si="21">E66*106.22/100</f>
        <v>1.52861202</v>
      </c>
      <c r="G66" s="328">
        <v>175.32</v>
      </c>
      <c r="H66" s="329">
        <f t="shared" ref="H66:H67" si="22">G66*107.47/100</f>
        <v>188.416404</v>
      </c>
      <c r="I66" s="333">
        <f>(((C66*H66)*B66)*12)/100</f>
        <v>3665528.0899776001</v>
      </c>
      <c r="J66" s="152"/>
      <c r="K66" s="152"/>
      <c r="L66" s="152"/>
      <c r="M66"/>
    </row>
    <row r="67" spans="1:13" x14ac:dyDescent="0.2">
      <c r="A67" s="215" t="s">
        <v>45</v>
      </c>
      <c r="B67" s="219">
        <f>D16+D18</f>
        <v>11</v>
      </c>
      <c r="C67" s="216">
        <f>7958*12</f>
        <v>95496</v>
      </c>
      <c r="D67" s="217"/>
      <c r="E67" s="214">
        <v>1.4391</v>
      </c>
      <c r="F67" s="214">
        <f t="shared" si="21"/>
        <v>1.52861202</v>
      </c>
      <c r="G67" s="328">
        <v>175.32</v>
      </c>
      <c r="H67" s="329">
        <f t="shared" si="22"/>
        <v>188.416404</v>
      </c>
      <c r="I67" s="333">
        <f>(((C67*H67)*B67)*12)/100</f>
        <v>23750777.049626879</v>
      </c>
      <c r="J67" s="152"/>
      <c r="K67" s="152"/>
      <c r="L67" s="152"/>
      <c r="M67"/>
    </row>
    <row r="68" spans="1:13" x14ac:dyDescent="0.2">
      <c r="A68" s="215" t="s">
        <v>48</v>
      </c>
      <c r="B68" s="219">
        <f>D17</f>
        <v>0</v>
      </c>
      <c r="C68" s="216">
        <v>0</v>
      </c>
      <c r="D68" s="217"/>
      <c r="E68" s="214"/>
      <c r="F68" s="214"/>
      <c r="G68" s="328"/>
      <c r="H68" s="329"/>
      <c r="I68" s="332"/>
      <c r="J68" s="152"/>
      <c r="K68" s="152"/>
      <c r="L68" s="152"/>
      <c r="M68"/>
    </row>
    <row r="69" spans="1:13" x14ac:dyDescent="0.2">
      <c r="A69" s="218" t="s">
        <v>43</v>
      </c>
      <c r="B69" s="219"/>
      <c r="C69" s="216"/>
      <c r="D69" s="217"/>
      <c r="E69" s="214">
        <v>0</v>
      </c>
      <c r="F69" s="214"/>
      <c r="G69" s="328"/>
      <c r="H69" s="329"/>
      <c r="I69" s="332"/>
      <c r="J69" s="152"/>
      <c r="K69" s="152"/>
      <c r="L69" s="152"/>
      <c r="M69"/>
    </row>
    <row r="70" spans="1:13" x14ac:dyDescent="0.2">
      <c r="A70" s="215"/>
      <c r="B70" s="219">
        <v>58</v>
      </c>
      <c r="C70" s="216">
        <f>61399*12</f>
        <v>736788</v>
      </c>
      <c r="D70" s="221"/>
      <c r="E70" s="214">
        <v>1.3907609999999999</v>
      </c>
      <c r="F70" s="214">
        <f t="shared" si="21"/>
        <v>1.4772663341999999</v>
      </c>
      <c r="G70" s="328">
        <v>169</v>
      </c>
      <c r="H70" s="329">
        <f>G70*107.47/100</f>
        <v>181.62430000000001</v>
      </c>
      <c r="I70" s="333">
        <f>(((C70*H70)*B70)*12)/100</f>
        <v>931377489.04886401</v>
      </c>
      <c r="J70" s="152"/>
      <c r="K70" s="152"/>
      <c r="L70" s="152"/>
      <c r="M70"/>
    </row>
    <row r="71" spans="1:13" x14ac:dyDescent="0.2">
      <c r="A71" s="218" t="s">
        <v>36</v>
      </c>
      <c r="B71" s="219"/>
      <c r="C71" s="216"/>
      <c r="D71" s="217"/>
      <c r="E71" s="214"/>
      <c r="F71" s="217"/>
      <c r="G71" s="328"/>
      <c r="H71" s="329"/>
      <c r="I71" s="332"/>
      <c r="J71" s="152"/>
      <c r="K71" s="152"/>
      <c r="L71" s="152"/>
      <c r="M71"/>
    </row>
    <row r="72" spans="1:13" x14ac:dyDescent="0.2">
      <c r="A72" s="215" t="s">
        <v>44</v>
      </c>
      <c r="B72" s="219">
        <v>89</v>
      </c>
      <c r="C72" s="216">
        <f>51875*12</f>
        <v>622500</v>
      </c>
      <c r="D72" s="217"/>
      <c r="E72" s="222">
        <v>2.0606741999999998</v>
      </c>
      <c r="F72" s="217">
        <f t="shared" si="21"/>
        <v>2.1888481352399998</v>
      </c>
      <c r="G72" s="328">
        <v>250.95</v>
      </c>
      <c r="H72" s="329">
        <f t="shared" ref="H72:H73" si="23">G72*107.47/100</f>
        <v>269.695965</v>
      </c>
      <c r="I72" s="333">
        <f t="shared" ref="I72:I73" si="24">(((C72*H72)*B72)*12)/100</f>
        <v>1793019684.1095002</v>
      </c>
      <c r="J72" s="152"/>
      <c r="K72" s="152"/>
      <c r="L72" s="152"/>
      <c r="M72"/>
    </row>
    <row r="73" spans="1:13" x14ac:dyDescent="0.2">
      <c r="A73" s="215" t="s">
        <v>45</v>
      </c>
      <c r="B73" s="219">
        <v>20</v>
      </c>
      <c r="C73" s="216">
        <f>307141*12</f>
        <v>3685692</v>
      </c>
      <c r="D73" s="217"/>
      <c r="E73" s="222">
        <v>2.0730879</v>
      </c>
      <c r="F73" s="217">
        <f t="shared" si="21"/>
        <v>2.2020339673800002</v>
      </c>
      <c r="G73" s="328">
        <v>253.24</v>
      </c>
      <c r="H73" s="329">
        <f t="shared" si="23"/>
        <v>272.15702799999997</v>
      </c>
      <c r="I73" s="333">
        <f t="shared" si="24"/>
        <v>2407408754.0241022</v>
      </c>
      <c r="J73" s="223">
        <f>3000*F76+E25+E32</f>
        <v>6894.288955718328</v>
      </c>
      <c r="K73" s="152"/>
      <c r="L73" s="152"/>
      <c r="M73"/>
    </row>
    <row r="74" spans="1:13" x14ac:dyDescent="0.2">
      <c r="A74" s="215"/>
      <c r="B74" s="219"/>
      <c r="C74" s="216"/>
      <c r="D74" s="217"/>
      <c r="E74" s="214"/>
      <c r="F74" s="217"/>
      <c r="G74" s="328"/>
      <c r="H74" s="329"/>
      <c r="I74" s="332"/>
      <c r="J74" s="223">
        <f>J73/3000</f>
        <v>2.2980963185727759</v>
      </c>
      <c r="K74" s="152"/>
      <c r="L74" s="152"/>
      <c r="M74"/>
    </row>
    <row r="75" spans="1:13" x14ac:dyDescent="0.2">
      <c r="A75" s="218" t="s">
        <v>35</v>
      </c>
      <c r="B75" s="224"/>
      <c r="C75" s="225"/>
      <c r="D75" s="217"/>
      <c r="E75" s="214"/>
      <c r="F75" s="217"/>
      <c r="G75" s="328"/>
      <c r="H75" s="329"/>
      <c r="I75" s="332"/>
      <c r="J75" s="223"/>
      <c r="K75" s="152"/>
      <c r="L75" s="152"/>
      <c r="M75"/>
    </row>
    <row r="76" spans="1:13" x14ac:dyDescent="0.2">
      <c r="A76" s="215" t="s">
        <v>56</v>
      </c>
      <c r="B76" s="224">
        <v>49</v>
      </c>
      <c r="C76" s="216">
        <f>51875*12</f>
        <v>622500</v>
      </c>
      <c r="D76" s="217"/>
      <c r="E76" s="222">
        <v>1.6519999999999999</v>
      </c>
      <c r="F76" s="217">
        <v>1.69</v>
      </c>
      <c r="G76" s="328">
        <v>193.66</v>
      </c>
      <c r="H76" s="329">
        <f>G76*107.47/100</f>
        <v>208.12640199999998</v>
      </c>
      <c r="I76" s="333">
        <f>(((C76*H76)*B76)*12)/100</f>
        <v>761805069.24059999</v>
      </c>
      <c r="J76" s="223"/>
      <c r="K76" s="152"/>
      <c r="L76" s="152"/>
      <c r="M76"/>
    </row>
    <row r="77" spans="1:13" x14ac:dyDescent="0.2">
      <c r="A77" s="215"/>
      <c r="B77" s="224"/>
      <c r="C77" s="216"/>
      <c r="D77" s="217"/>
      <c r="E77" s="214"/>
      <c r="F77" s="217"/>
      <c r="G77" s="328"/>
      <c r="H77" s="329"/>
      <c r="I77" s="333"/>
      <c r="J77" s="223"/>
      <c r="K77" s="152"/>
      <c r="L77" s="152"/>
      <c r="M77"/>
    </row>
    <row r="78" spans="1:13" x14ac:dyDescent="0.2">
      <c r="A78" s="226" t="s">
        <v>57</v>
      </c>
      <c r="B78" s="224"/>
      <c r="C78" s="216"/>
      <c r="D78" s="217"/>
      <c r="E78" s="214"/>
      <c r="F78" s="217"/>
      <c r="G78" s="328"/>
      <c r="H78" s="329"/>
      <c r="I78" s="333"/>
      <c r="J78" s="223"/>
      <c r="K78" s="152"/>
      <c r="L78" s="152"/>
      <c r="M78"/>
    </row>
    <row r="79" spans="1:13" x14ac:dyDescent="0.2">
      <c r="A79" s="215" t="s">
        <v>58</v>
      </c>
      <c r="B79" s="224">
        <v>112</v>
      </c>
      <c r="C79" s="216">
        <f>307141*12</f>
        <v>3685692</v>
      </c>
      <c r="D79" s="217"/>
      <c r="E79" s="222">
        <v>1.6519999999999999</v>
      </c>
      <c r="F79" s="217">
        <v>1.69</v>
      </c>
      <c r="G79" s="328">
        <v>193.66</v>
      </c>
      <c r="H79" s="329">
        <f>G79*107.47/100</f>
        <v>208.12640199999998</v>
      </c>
      <c r="I79" s="333">
        <f>(((C79*H79)*B79)*12)/100</f>
        <v>10309687111.452072</v>
      </c>
      <c r="J79" s="223"/>
      <c r="K79" s="152"/>
      <c r="L79" s="152"/>
      <c r="M79"/>
    </row>
    <row r="80" spans="1:13" x14ac:dyDescent="0.2">
      <c r="A80" s="215"/>
      <c r="B80" s="224"/>
      <c r="C80" s="216"/>
      <c r="D80" s="217"/>
      <c r="E80" s="214"/>
      <c r="F80" s="217"/>
      <c r="G80" s="328"/>
      <c r="H80" s="329"/>
      <c r="I80" s="333"/>
      <c r="J80" s="223"/>
      <c r="K80" s="152"/>
      <c r="L80" s="152"/>
      <c r="M80"/>
    </row>
    <row r="81" spans="1:16" x14ac:dyDescent="0.2">
      <c r="A81" s="226" t="s">
        <v>59</v>
      </c>
      <c r="B81" s="224"/>
      <c r="C81" s="216"/>
      <c r="D81" s="217"/>
      <c r="E81" s="214"/>
      <c r="F81" s="217"/>
      <c r="G81" s="328"/>
      <c r="H81" s="329"/>
      <c r="I81" s="333"/>
      <c r="J81" s="223"/>
      <c r="K81" s="152"/>
      <c r="L81" s="152"/>
      <c r="M81"/>
    </row>
    <row r="82" spans="1:16" x14ac:dyDescent="0.2">
      <c r="A82" s="215" t="s">
        <v>60</v>
      </c>
      <c r="B82" s="224">
        <v>29</v>
      </c>
      <c r="C82" s="216">
        <f>51875*12</f>
        <v>622500</v>
      </c>
      <c r="D82" s="217"/>
      <c r="E82" s="222">
        <v>1.6519999999999999</v>
      </c>
      <c r="F82" s="217">
        <v>1.69</v>
      </c>
      <c r="G82" s="328">
        <v>193.66</v>
      </c>
      <c r="H82" s="329">
        <f>G82*107.47/100</f>
        <v>208.12640199999998</v>
      </c>
      <c r="I82" s="333">
        <f>(((C82*H82)*B82)*12)/100</f>
        <v>450864224.65259993</v>
      </c>
      <c r="J82" s="227"/>
      <c r="K82" s="152"/>
      <c r="L82" s="152"/>
      <c r="M82"/>
    </row>
    <row r="83" spans="1:16" x14ac:dyDescent="0.2">
      <c r="A83" s="215"/>
      <c r="B83" s="224"/>
      <c r="C83" s="225"/>
      <c r="D83" s="217"/>
      <c r="E83" s="214"/>
      <c r="F83" s="217"/>
      <c r="G83" s="328"/>
      <c r="H83" s="329"/>
      <c r="I83" s="333"/>
      <c r="J83" s="227"/>
      <c r="K83" s="152"/>
      <c r="L83" s="152"/>
      <c r="M83"/>
    </row>
    <row r="84" spans="1:16" x14ac:dyDescent="0.2">
      <c r="A84" s="218" t="s">
        <v>33</v>
      </c>
      <c r="B84" s="224"/>
      <c r="C84" s="225"/>
      <c r="D84" s="217"/>
      <c r="E84" s="214"/>
      <c r="F84" s="217"/>
      <c r="G84" s="328"/>
      <c r="H84" s="329"/>
      <c r="I84" s="333"/>
      <c r="J84" s="227"/>
      <c r="K84" s="152"/>
      <c r="L84" s="152"/>
      <c r="M84"/>
    </row>
    <row r="85" spans="1:16" x14ac:dyDescent="0.2">
      <c r="A85" s="215" t="s">
        <v>83</v>
      </c>
      <c r="B85" s="224">
        <v>31</v>
      </c>
      <c r="C85" s="225">
        <v>696398</v>
      </c>
      <c r="D85" s="217"/>
      <c r="E85" s="222">
        <v>1.127</v>
      </c>
      <c r="F85" s="217">
        <f t="shared" ref="F85" si="25">E85*106.22/100</f>
        <v>1.1970993999999999</v>
      </c>
      <c r="G85" s="328">
        <v>137.51</v>
      </c>
      <c r="H85" s="329">
        <f>G85*107.47/100</f>
        <v>147.78199699999999</v>
      </c>
      <c r="I85" s="333">
        <f>(((C85*H85)*B85)*12)/100</f>
        <v>382844124.1861183</v>
      </c>
      <c r="J85" s="223"/>
      <c r="K85" s="152"/>
      <c r="L85" s="152"/>
      <c r="M85"/>
    </row>
    <row r="86" spans="1:16" x14ac:dyDescent="0.2">
      <c r="A86" s="215"/>
      <c r="B86" s="224"/>
      <c r="C86" s="225"/>
      <c r="D86" s="221"/>
      <c r="E86" s="214"/>
      <c r="F86" s="214"/>
      <c r="G86" s="328"/>
      <c r="H86" s="329"/>
      <c r="I86" s="333"/>
      <c r="J86" s="223">
        <v>1.1000000000000001</v>
      </c>
      <c r="K86" s="152"/>
      <c r="L86" s="152"/>
      <c r="M86"/>
      <c r="O86" s="3"/>
      <c r="P86" s="3"/>
    </row>
    <row r="87" spans="1:16" x14ac:dyDescent="0.2">
      <c r="A87" s="137" t="s">
        <v>11</v>
      </c>
      <c r="B87" s="224"/>
      <c r="C87" s="225"/>
      <c r="D87" s="216"/>
      <c r="E87" s="214"/>
      <c r="F87" s="214"/>
      <c r="G87" s="328"/>
      <c r="H87" s="329"/>
      <c r="I87" s="333"/>
      <c r="J87" s="223"/>
      <c r="K87" s="152"/>
      <c r="L87" s="152"/>
      <c r="M87"/>
      <c r="N87" s="3"/>
    </row>
    <row r="88" spans="1:16" x14ac:dyDescent="0.2">
      <c r="A88" s="215" t="s">
        <v>50</v>
      </c>
      <c r="B88" s="228">
        <v>0</v>
      </c>
      <c r="C88" s="229"/>
      <c r="D88" s="230"/>
      <c r="E88" s="214">
        <v>1.3907609999999999</v>
      </c>
      <c r="F88" s="214">
        <f t="shared" ref="F88" si="26">E88*106.22/100</f>
        <v>1.4772663341999999</v>
      </c>
      <c r="G88" s="328">
        <v>169.59</v>
      </c>
      <c r="H88" s="329">
        <f>G88*107.47/100</f>
        <v>182.25837300000001</v>
      </c>
      <c r="I88" s="333"/>
      <c r="J88" s="152"/>
      <c r="K88" s="152"/>
      <c r="L88" s="152"/>
      <c r="M88"/>
      <c r="N88" s="3"/>
    </row>
    <row r="89" spans="1:16" x14ac:dyDescent="0.2">
      <c r="A89" s="141"/>
      <c r="B89" s="228"/>
      <c r="C89" s="229">
        <v>0</v>
      </c>
      <c r="D89" s="231"/>
      <c r="E89" s="214"/>
      <c r="F89" s="214"/>
      <c r="G89" s="328"/>
      <c r="H89" s="329"/>
      <c r="I89" s="333"/>
      <c r="J89" s="152"/>
      <c r="K89" s="152"/>
      <c r="L89" s="152"/>
      <c r="M89"/>
    </row>
    <row r="90" spans="1:16" x14ac:dyDescent="0.2">
      <c r="A90" s="232" t="s">
        <v>13</v>
      </c>
      <c r="B90" s="228"/>
      <c r="C90" s="229"/>
      <c r="D90" s="231"/>
      <c r="E90" s="214"/>
      <c r="F90" s="214"/>
      <c r="G90" s="328"/>
      <c r="H90" s="329"/>
      <c r="I90" s="333"/>
      <c r="J90" s="152"/>
      <c r="K90" s="152"/>
      <c r="L90" s="152"/>
      <c r="M90"/>
    </row>
    <row r="91" spans="1:16" ht="13.5" thickBot="1" x14ac:dyDescent="0.25">
      <c r="A91" s="215" t="s">
        <v>50</v>
      </c>
      <c r="B91" s="233">
        <v>3</v>
      </c>
      <c r="C91" s="234">
        <v>404096</v>
      </c>
      <c r="D91" s="235"/>
      <c r="E91" s="236">
        <v>1.0967789999999999</v>
      </c>
      <c r="F91" s="236">
        <f t="shared" ref="F91" si="27">E91*106.22/100</f>
        <v>1.1649986537999999</v>
      </c>
      <c r="G91" s="328">
        <v>132.91999999999999</v>
      </c>
      <c r="H91" s="329">
        <f>G91*107.47/100</f>
        <v>142.84912399999999</v>
      </c>
      <c r="I91" s="333">
        <f>(((C91*H91)*B91)*12)/100</f>
        <v>20780913.46028544</v>
      </c>
      <c r="J91" s="152"/>
      <c r="K91" s="152"/>
      <c r="L91" s="152"/>
      <c r="M91"/>
    </row>
    <row r="92" spans="1:16" ht="13.5" thickBot="1" x14ac:dyDescent="0.25">
      <c r="A92" s="141"/>
      <c r="B92" s="141"/>
      <c r="C92" s="141"/>
      <c r="D92" s="141"/>
      <c r="E92" s="141"/>
      <c r="F92" s="237"/>
      <c r="G92" s="237"/>
      <c r="H92" s="237"/>
      <c r="I92" s="238">
        <f>SUM(I47:I91)</f>
        <v>17103320599.802795</v>
      </c>
      <c r="J92" s="239"/>
      <c r="K92" s="239"/>
      <c r="L92" s="240"/>
      <c r="M92" s="10"/>
    </row>
    <row r="93" spans="1:16" x14ac:dyDescent="0.2">
      <c r="A93" s="141"/>
      <c r="B93" s="141"/>
      <c r="C93" s="141"/>
      <c r="D93" s="141"/>
      <c r="E93" s="141"/>
      <c r="F93" s="237"/>
      <c r="G93" s="237"/>
      <c r="H93" s="237"/>
      <c r="I93" s="237"/>
      <c r="J93" s="239"/>
      <c r="K93" s="239"/>
      <c r="L93" s="240"/>
      <c r="M93" s="10"/>
    </row>
    <row r="94" spans="1:16" x14ac:dyDescent="0.2">
      <c r="A94" s="141"/>
      <c r="B94" s="141"/>
      <c r="C94" s="141"/>
      <c r="D94" s="141"/>
      <c r="E94" s="141"/>
      <c r="F94" s="237"/>
      <c r="G94" s="237"/>
      <c r="H94" s="237"/>
      <c r="I94" s="237"/>
      <c r="J94" s="239"/>
      <c r="K94" s="239"/>
      <c r="L94" s="240"/>
      <c r="M94" s="10"/>
    </row>
    <row r="95" spans="1:16" ht="13.5" thickBot="1" x14ac:dyDescent="0.25">
      <c r="A95" s="141"/>
      <c r="B95" s="195"/>
      <c r="C95" s="195"/>
      <c r="D95" s="241"/>
      <c r="E95" s="242"/>
      <c r="F95" s="243"/>
      <c r="G95" s="243"/>
      <c r="H95" s="243"/>
      <c r="I95" s="243"/>
      <c r="J95" s="243"/>
      <c r="K95" s="243"/>
      <c r="L95" s="244"/>
      <c r="O95" s="3"/>
    </row>
    <row r="96" spans="1:16" ht="24.75" thickBot="1" x14ac:dyDescent="0.25">
      <c r="A96" s="152" t="s">
        <v>87</v>
      </c>
      <c r="B96" s="195"/>
      <c r="C96" s="241"/>
      <c r="D96" s="242"/>
      <c r="E96" s="245" t="s">
        <v>89</v>
      </c>
      <c r="F96" s="245" t="s">
        <v>94</v>
      </c>
      <c r="G96" s="246" t="s">
        <v>61</v>
      </c>
      <c r="H96" s="246" t="s">
        <v>61</v>
      </c>
      <c r="I96" s="246" t="s">
        <v>96</v>
      </c>
      <c r="J96" s="246" t="s">
        <v>129</v>
      </c>
      <c r="K96" s="246" t="s">
        <v>130</v>
      </c>
      <c r="L96" s="141"/>
      <c r="M96"/>
      <c r="N96" s="3"/>
    </row>
    <row r="97" spans="1:23" x14ac:dyDescent="0.2">
      <c r="A97" s="152" t="s">
        <v>88</v>
      </c>
      <c r="B97" s="152"/>
      <c r="C97" s="241"/>
      <c r="D97" s="242"/>
      <c r="E97" s="243">
        <v>0.64</v>
      </c>
      <c r="F97" s="243">
        <v>0.7</v>
      </c>
      <c r="G97" s="243">
        <v>0.79148999999999992</v>
      </c>
      <c r="H97" s="243">
        <v>0.79148999999999992</v>
      </c>
      <c r="I97" s="243">
        <f>G97*106.22/100</f>
        <v>0.84072067799999983</v>
      </c>
      <c r="J97" s="330">
        <v>99.69</v>
      </c>
      <c r="K97" s="331">
        <f>J97*107.47/100</f>
        <v>107.13684299999998</v>
      </c>
      <c r="L97" s="141"/>
      <c r="M97"/>
      <c r="N97" s="3"/>
    </row>
    <row r="98" spans="1:23" ht="13.5" thickBot="1" x14ac:dyDescent="0.25">
      <c r="A98" s="141"/>
      <c r="B98" s="195"/>
      <c r="C98" s="195"/>
      <c r="D98" s="187"/>
      <c r="E98" s="248"/>
      <c r="F98" s="248"/>
      <c r="G98" s="248"/>
      <c r="H98" s="248"/>
      <c r="I98" s="240"/>
      <c r="J98" s="249"/>
      <c r="K98" s="152"/>
      <c r="L98" s="248"/>
      <c r="M98" s="22"/>
      <c r="T98" s="8"/>
      <c r="U98" s="8"/>
      <c r="V98" s="8"/>
    </row>
    <row r="99" spans="1:23" ht="13.5" thickBot="1" x14ac:dyDescent="0.25">
      <c r="A99" s="182" t="s">
        <v>75</v>
      </c>
      <c r="B99" s="195"/>
      <c r="C99" s="195"/>
      <c r="D99" s="250"/>
      <c r="E99" s="251"/>
      <c r="F99" s="336" t="s">
        <v>76</v>
      </c>
      <c r="G99" s="337"/>
      <c r="H99" s="337"/>
      <c r="I99" s="337"/>
      <c r="J99" s="337"/>
      <c r="K99" s="152"/>
      <c r="L99" s="252"/>
      <c r="M99" s="31"/>
      <c r="T99" s="8"/>
      <c r="U99" s="8"/>
      <c r="V99" s="8"/>
    </row>
    <row r="100" spans="1:23" ht="24.75" thickBot="1" x14ac:dyDescent="0.25">
      <c r="A100" s="141"/>
      <c r="B100" s="195"/>
      <c r="C100" s="195"/>
      <c r="D100" s="253" t="s">
        <v>77</v>
      </c>
      <c r="E100" s="254" t="s">
        <v>78</v>
      </c>
      <c r="F100" s="255" t="s">
        <v>94</v>
      </c>
      <c r="G100" s="255" t="s">
        <v>61</v>
      </c>
      <c r="H100" s="255" t="s">
        <v>96</v>
      </c>
      <c r="I100" s="255" t="s">
        <v>104</v>
      </c>
      <c r="J100" s="256" t="s">
        <v>112</v>
      </c>
      <c r="K100" s="254" t="s">
        <v>79</v>
      </c>
      <c r="L100" s="187"/>
      <c r="M100" s="175"/>
      <c r="N100" s="1"/>
      <c r="U100" s="8"/>
      <c r="V100" s="8"/>
      <c r="W100" s="8"/>
    </row>
    <row r="101" spans="1:23" ht="17.25" customHeight="1" thickBot="1" x14ac:dyDescent="0.25">
      <c r="A101" s="334" t="s">
        <v>80</v>
      </c>
      <c r="B101" s="334"/>
      <c r="C101" s="195"/>
      <c r="D101" s="257">
        <f>1705*12</f>
        <v>20460</v>
      </c>
      <c r="E101" s="258">
        <v>151.36022799999998</v>
      </c>
      <c r="F101" s="259">
        <v>171.14300979960001</v>
      </c>
      <c r="G101" s="259">
        <f t="shared" ref="G101:H103" si="28">F101*106.22/100</f>
        <v>181.78810500913514</v>
      </c>
      <c r="H101" s="259">
        <f t="shared" si="28"/>
        <v>193.09532514070335</v>
      </c>
      <c r="I101" s="247">
        <f>G101*114.59/100</f>
        <v>208.31098952996797</v>
      </c>
      <c r="J101" s="326">
        <f>I101*107.47/100</f>
        <v>223.87182044785658</v>
      </c>
      <c r="K101" s="260">
        <f>J101*D101</f>
        <v>4580417.4463631455</v>
      </c>
      <c r="L101" s="261"/>
      <c r="M101" s="243"/>
      <c r="N101" s="27"/>
      <c r="U101" s="23"/>
      <c r="V101" s="16"/>
      <c r="W101" s="8"/>
    </row>
    <row r="102" spans="1:23" ht="15" customHeight="1" thickBot="1" x14ac:dyDescent="0.25">
      <c r="A102" s="334" t="s">
        <v>81</v>
      </c>
      <c r="B102" s="334"/>
      <c r="C102" s="195"/>
      <c r="D102" s="262">
        <f>2735*12</f>
        <v>32820</v>
      </c>
      <c r="E102" s="263">
        <v>151.71280000000002</v>
      </c>
      <c r="F102" s="259">
        <v>171.54166296</v>
      </c>
      <c r="G102" s="259">
        <f t="shared" si="28"/>
        <v>182.21155439611201</v>
      </c>
      <c r="H102" s="259">
        <f t="shared" si="28"/>
        <v>193.54511307955016</v>
      </c>
      <c r="I102" s="247">
        <v>208.79</v>
      </c>
      <c r="J102" s="326">
        <f t="shared" ref="J102:J103" si="29">I102*107.47/100</f>
        <v>224.38661300000001</v>
      </c>
      <c r="K102" s="260">
        <f t="shared" ref="K102:K103" si="30">J102*D102</f>
        <v>7364368.6386600006</v>
      </c>
      <c r="L102" s="261"/>
      <c r="M102" s="243"/>
      <c r="N102" s="27"/>
      <c r="U102" s="23"/>
      <c r="V102" s="16"/>
      <c r="W102" s="8"/>
    </row>
    <row r="103" spans="1:23" ht="13.5" thickBot="1" x14ac:dyDescent="0.25">
      <c r="A103" s="334" t="s">
        <v>82</v>
      </c>
      <c r="B103" s="334"/>
      <c r="C103" s="195"/>
      <c r="D103" s="264">
        <f>173*12</f>
        <v>2076</v>
      </c>
      <c r="E103" s="265">
        <v>131.41319999999999</v>
      </c>
      <c r="F103" s="259">
        <v>148.58890523999997</v>
      </c>
      <c r="G103" s="259">
        <f t="shared" si="28"/>
        <v>157.83113514592796</v>
      </c>
      <c r="H103" s="259">
        <f t="shared" si="28"/>
        <v>167.64823175200468</v>
      </c>
      <c r="I103" s="247">
        <f t="shared" ref="I103" si="31">G103*114.59/100</f>
        <v>180.85869776371885</v>
      </c>
      <c r="J103" s="326">
        <f t="shared" si="29"/>
        <v>194.36884248666865</v>
      </c>
      <c r="K103" s="260">
        <f t="shared" si="30"/>
        <v>403509.71700232412</v>
      </c>
      <c r="L103" s="261"/>
      <c r="M103" s="243"/>
      <c r="N103" s="27"/>
      <c r="U103" s="23"/>
      <c r="V103" s="16"/>
      <c r="W103" s="8"/>
    </row>
    <row r="104" spans="1:23" ht="13.5" thickBot="1" x14ac:dyDescent="0.25">
      <c r="A104" s="141"/>
      <c r="B104" s="195"/>
      <c r="C104" s="195"/>
      <c r="D104" s="195"/>
      <c r="E104" s="266"/>
      <c r="F104" s="267"/>
      <c r="G104" s="268"/>
      <c r="H104" s="268"/>
      <c r="I104" s="267"/>
      <c r="J104" s="267"/>
      <c r="K104" s="269" t="s">
        <v>64</v>
      </c>
      <c r="L104" s="270">
        <f>K101+K103+K102</f>
        <v>12348295.802025471</v>
      </c>
      <c r="M104" s="248"/>
      <c r="N104" s="22"/>
      <c r="U104" s="16"/>
      <c r="V104" s="23"/>
      <c r="W104" s="8"/>
    </row>
    <row r="105" spans="1:23" x14ac:dyDescent="0.2">
      <c r="A105" s="141"/>
      <c r="B105" s="195"/>
      <c r="C105" s="195"/>
      <c r="D105" s="195"/>
      <c r="E105" s="152"/>
      <c r="F105" s="152"/>
      <c r="G105" s="152"/>
      <c r="H105" s="152"/>
      <c r="I105" s="152"/>
      <c r="J105" s="152"/>
      <c r="K105" s="152"/>
      <c r="L105" s="240"/>
      <c r="M105" s="2"/>
      <c r="T105" s="3"/>
    </row>
    <row r="106" spans="1:23" ht="13.5" thickBot="1" x14ac:dyDescent="0.25">
      <c r="A106" s="182" t="s">
        <v>14</v>
      </c>
      <c r="B106" s="195"/>
      <c r="C106" s="195"/>
      <c r="D106" s="195"/>
      <c r="E106" s="271"/>
      <c r="F106" s="272"/>
      <c r="G106" s="139"/>
      <c r="H106" s="139"/>
      <c r="I106" s="139"/>
      <c r="J106" s="195"/>
      <c r="K106" s="152"/>
      <c r="L106" s="273"/>
      <c r="M106" s="18"/>
    </row>
    <row r="107" spans="1:23" ht="24.75" thickBot="1" x14ac:dyDescent="0.25">
      <c r="A107" s="141"/>
      <c r="B107" s="195"/>
      <c r="C107" s="195"/>
      <c r="D107" s="274" t="s">
        <v>3</v>
      </c>
      <c r="E107" s="275" t="s">
        <v>52</v>
      </c>
      <c r="F107" s="254" t="s">
        <v>94</v>
      </c>
      <c r="G107" s="254" t="s">
        <v>61</v>
      </c>
      <c r="H107" s="254" t="s">
        <v>96</v>
      </c>
      <c r="I107" s="254" t="s">
        <v>102</v>
      </c>
      <c r="J107" s="254" t="s">
        <v>111</v>
      </c>
      <c r="K107" s="276" t="s">
        <v>62</v>
      </c>
      <c r="L107" s="276" t="s">
        <v>63</v>
      </c>
      <c r="M107" s="277"/>
      <c r="N107" s="32"/>
    </row>
    <row r="108" spans="1:23" ht="13.5" thickBot="1" x14ac:dyDescent="0.25">
      <c r="A108" s="141" t="s">
        <v>15</v>
      </c>
      <c r="B108" s="195"/>
      <c r="C108" s="195"/>
      <c r="D108" s="278">
        <v>231</v>
      </c>
      <c r="E108" s="279">
        <v>600</v>
      </c>
      <c r="F108" s="280">
        <v>678.42</v>
      </c>
      <c r="G108" s="280">
        <f t="shared" ref="G108:H110" si="32">F108*106.22/100</f>
        <v>720.61772400000007</v>
      </c>
      <c r="H108" s="280">
        <f t="shared" si="32"/>
        <v>765.44014643280013</v>
      </c>
      <c r="I108" s="280">
        <f>G108*114.59/100</f>
        <v>825.7558499316001</v>
      </c>
      <c r="J108" s="280">
        <f>I108*107.47/100</f>
        <v>887.43981192149067</v>
      </c>
      <c r="K108" s="281">
        <f>J108*D108*12</f>
        <v>2459983.1586463721</v>
      </c>
      <c r="L108" s="260"/>
      <c r="M108" s="282"/>
      <c r="N108" s="33"/>
    </row>
    <row r="109" spans="1:23" ht="13.5" thickBot="1" x14ac:dyDescent="0.25">
      <c r="A109" s="141" t="s">
        <v>8</v>
      </c>
      <c r="B109" s="195"/>
      <c r="C109" s="195"/>
      <c r="D109" s="283">
        <v>0</v>
      </c>
      <c r="E109" s="284">
        <v>790</v>
      </c>
      <c r="F109" s="280">
        <v>893.25299999999993</v>
      </c>
      <c r="G109" s="280">
        <f t="shared" si="32"/>
        <v>948.81333659999984</v>
      </c>
      <c r="H109" s="280">
        <f t="shared" si="32"/>
        <v>1007.8295261365198</v>
      </c>
      <c r="I109" s="280">
        <f t="shared" ref="I109:I110" si="33">G109*114.59/100</f>
        <v>1087.2452024099398</v>
      </c>
      <c r="J109" s="280">
        <f t="shared" ref="J109:J110" si="34">I109*107.47/100</f>
        <v>1168.4624190299623</v>
      </c>
      <c r="K109" s="281">
        <f t="shared" ref="K109:K110" si="35">J109*D109*12</f>
        <v>0</v>
      </c>
      <c r="L109" s="260"/>
      <c r="M109" s="282"/>
      <c r="N109" s="33"/>
    </row>
    <row r="110" spans="1:23" ht="13.5" thickBot="1" x14ac:dyDescent="0.25">
      <c r="A110" s="141" t="s">
        <v>10</v>
      </c>
      <c r="B110" s="195"/>
      <c r="C110" s="195"/>
      <c r="D110" s="285">
        <v>9</v>
      </c>
      <c r="E110" s="284">
        <v>790</v>
      </c>
      <c r="F110" s="280">
        <v>893.25299999999993</v>
      </c>
      <c r="G110" s="280">
        <f t="shared" si="32"/>
        <v>948.81333659999984</v>
      </c>
      <c r="H110" s="280">
        <f t="shared" si="32"/>
        <v>1007.8295261365198</v>
      </c>
      <c r="I110" s="280">
        <f t="shared" si="33"/>
        <v>1087.2452024099398</v>
      </c>
      <c r="J110" s="280">
        <f t="shared" si="34"/>
        <v>1168.4624190299623</v>
      </c>
      <c r="K110" s="281">
        <f t="shared" si="35"/>
        <v>126193.94125523593</v>
      </c>
      <c r="L110" s="260"/>
      <c r="M110" s="282"/>
      <c r="N110" s="33"/>
    </row>
    <row r="111" spans="1:23" ht="13.5" thickBot="1" x14ac:dyDescent="0.25">
      <c r="A111" s="141"/>
      <c r="B111" s="195"/>
      <c r="C111" s="195"/>
      <c r="D111" s="195"/>
      <c r="E111" s="269"/>
      <c r="F111" s="269"/>
      <c r="G111" s="269"/>
      <c r="H111" s="269"/>
      <c r="I111" s="269"/>
      <c r="J111" s="269"/>
      <c r="K111" s="269" t="s">
        <v>64</v>
      </c>
      <c r="L111" s="286">
        <f>K110+K109+K108</f>
        <v>2586177.0999016082</v>
      </c>
      <c r="M111" s="269"/>
      <c r="N111" s="20"/>
    </row>
    <row r="112" spans="1:23" ht="14.25" thickTop="1" thickBot="1" x14ac:dyDescent="0.25">
      <c r="A112" s="287"/>
      <c r="B112" s="288"/>
      <c r="C112" s="195"/>
      <c r="D112" s="195"/>
      <c r="E112" s="195"/>
      <c r="F112" s="195"/>
      <c r="G112" s="195"/>
      <c r="H112" s="195"/>
      <c r="I112" s="195"/>
      <c r="J112" s="195"/>
      <c r="K112" s="139"/>
      <c r="L112" s="289"/>
      <c r="M112" s="195"/>
      <c r="N112" s="15"/>
    </row>
    <row r="113" spans="1:17" ht="14.25" thickTop="1" thickBot="1" x14ac:dyDescent="0.25">
      <c r="A113" s="141"/>
      <c r="B113" s="195"/>
      <c r="C113" s="195"/>
      <c r="D113" s="195"/>
      <c r="E113" s="195"/>
      <c r="F113" s="195"/>
      <c r="G113" s="195"/>
      <c r="H113" s="195"/>
      <c r="I113" s="195"/>
      <c r="J113" s="195"/>
      <c r="K113" s="290" t="s">
        <v>64</v>
      </c>
      <c r="L113" s="291">
        <f>R40+Q85+R95+L111</f>
        <v>2586177.0999016082</v>
      </c>
      <c r="M113" s="195"/>
      <c r="N113" s="15"/>
    </row>
    <row r="114" spans="1:17" ht="14.25" thickTop="1" thickBot="1" x14ac:dyDescent="0.25">
      <c r="A114" s="141"/>
      <c r="B114" s="195"/>
      <c r="C114" s="195"/>
      <c r="D114" s="195"/>
      <c r="E114" s="195"/>
      <c r="F114" s="195"/>
      <c r="G114" s="195"/>
      <c r="H114" s="195"/>
      <c r="I114" s="195"/>
      <c r="J114" s="195"/>
      <c r="K114" s="292" t="s">
        <v>65</v>
      </c>
      <c r="L114" s="293">
        <f>L113*1.15</f>
        <v>2974103.664886849</v>
      </c>
      <c r="M114" s="195"/>
      <c r="N114" s="15"/>
    </row>
    <row r="115" spans="1:17" ht="13.5" thickBot="1" x14ac:dyDescent="0.25">
      <c r="A115" s="141"/>
      <c r="B115" s="195"/>
      <c r="C115" s="195"/>
      <c r="D115" s="195"/>
      <c r="E115" s="195"/>
      <c r="F115" s="195"/>
      <c r="G115" s="195"/>
      <c r="H115" s="195"/>
      <c r="I115" s="195"/>
      <c r="J115" s="195"/>
      <c r="K115" s="195"/>
      <c r="L115" s="195"/>
      <c r="M115" s="15"/>
      <c r="N115" s="15"/>
      <c r="O115" s="24"/>
      <c r="P115" s="21"/>
    </row>
    <row r="116" spans="1:17" ht="24.75" thickBot="1" x14ac:dyDescent="0.25">
      <c r="A116" s="141"/>
      <c r="B116" s="195"/>
      <c r="C116" s="195"/>
      <c r="D116" s="195"/>
      <c r="E116" s="294" t="s">
        <v>4</v>
      </c>
      <c r="F116" s="295" t="s">
        <v>113</v>
      </c>
      <c r="G116" s="296" t="s">
        <v>114</v>
      </c>
      <c r="H116" s="296" t="s">
        <v>97</v>
      </c>
      <c r="I116" s="297" t="s">
        <v>103</v>
      </c>
      <c r="J116" s="297" t="s">
        <v>115</v>
      </c>
      <c r="K116" s="298"/>
      <c r="L116" s="298"/>
      <c r="M116" s="298"/>
      <c r="N116" s="25"/>
      <c r="O116" s="25"/>
      <c r="P116" s="26"/>
      <c r="Q116" s="8"/>
    </row>
    <row r="117" spans="1:17" x14ac:dyDescent="0.2">
      <c r="A117" s="182" t="s">
        <v>16</v>
      </c>
      <c r="B117" s="196"/>
      <c r="C117" s="196"/>
      <c r="D117" s="195"/>
      <c r="E117" s="299">
        <v>188.73061999999999</v>
      </c>
      <c r="F117" s="300">
        <v>621.88499999999988</v>
      </c>
      <c r="G117" s="301">
        <f>F117*106.22/100</f>
        <v>660.56624699999986</v>
      </c>
      <c r="H117" s="301">
        <f>G117*106.22/100</f>
        <v>701.65346756339989</v>
      </c>
      <c r="I117" s="302">
        <f>G117*114.59/100</f>
        <v>756.94286243729994</v>
      </c>
      <c r="J117" s="302">
        <f>I117*107.47/100</f>
        <v>813.48649426136615</v>
      </c>
      <c r="K117" s="241"/>
      <c r="L117" s="248"/>
      <c r="M117" s="248"/>
      <c r="N117" s="27"/>
      <c r="O117" s="28"/>
      <c r="P117" s="29"/>
      <c r="Q117" s="15"/>
    </row>
    <row r="118" spans="1:17" x14ac:dyDescent="0.2">
      <c r="A118" s="141"/>
      <c r="B118" s="195"/>
      <c r="C118" s="195"/>
      <c r="D118" s="195"/>
      <c r="E118" s="303"/>
      <c r="F118" s="304"/>
      <c r="G118" s="305"/>
      <c r="H118" s="305"/>
      <c r="I118" s="302"/>
      <c r="J118" s="302"/>
      <c r="K118" s="241"/>
      <c r="L118" s="248"/>
      <c r="M118" s="248"/>
      <c r="N118" s="27"/>
      <c r="O118" s="28"/>
      <c r="P118" s="29"/>
      <c r="Q118" s="15"/>
    </row>
    <row r="119" spans="1:17" x14ac:dyDescent="0.2">
      <c r="A119" s="182" t="s">
        <v>17</v>
      </c>
      <c r="B119" s="195"/>
      <c r="C119" s="195"/>
      <c r="D119" s="195"/>
      <c r="E119" s="303">
        <v>57.351839999999996</v>
      </c>
      <c r="F119" s="304">
        <v>226.14</v>
      </c>
      <c r="G119" s="305">
        <f>F119*106.22/100</f>
        <v>240.20590799999999</v>
      </c>
      <c r="H119" s="305">
        <f>G119*106.22/100</f>
        <v>255.14671547759997</v>
      </c>
      <c r="I119" s="302">
        <f t="shared" ref="I119:I128" si="36">G119*114.59/100</f>
        <v>275.25194997719996</v>
      </c>
      <c r="J119" s="302">
        <f>I119*107.47/100</f>
        <v>295.8132706404968</v>
      </c>
      <c r="K119" s="241"/>
      <c r="L119" s="248"/>
      <c r="M119" s="248"/>
      <c r="N119" s="27"/>
      <c r="O119" s="28"/>
      <c r="P119" s="29"/>
      <c r="Q119" s="15"/>
    </row>
    <row r="120" spans="1:17" ht="13.5" thickBot="1" x14ac:dyDescent="0.25">
      <c r="A120" s="141"/>
      <c r="B120" s="306" t="s">
        <v>2</v>
      </c>
      <c r="C120" s="195"/>
      <c r="D120" s="195"/>
      <c r="E120" s="303"/>
      <c r="F120" s="304"/>
      <c r="G120" s="305"/>
      <c r="H120" s="305"/>
      <c r="I120" s="302"/>
      <c r="J120" s="302"/>
      <c r="K120" s="241"/>
      <c r="L120" s="248"/>
      <c r="M120" s="248"/>
      <c r="N120" s="27"/>
      <c r="O120" s="28"/>
      <c r="P120" s="29"/>
      <c r="Q120" s="15"/>
    </row>
    <row r="121" spans="1:17" x14ac:dyDescent="0.2">
      <c r="A121" s="182" t="s">
        <v>18</v>
      </c>
      <c r="B121" s="307">
        <v>1</v>
      </c>
      <c r="C121" s="195"/>
      <c r="D121" s="195"/>
      <c r="E121" s="303">
        <v>459.54999999999995</v>
      </c>
      <c r="F121" s="304">
        <v>1696.05</v>
      </c>
      <c r="G121" s="305">
        <f>F121*106.22/100</f>
        <v>1801.5443099999998</v>
      </c>
      <c r="H121" s="305">
        <f>G121*106.22/100</f>
        <v>1913.6003660819997</v>
      </c>
      <c r="I121" s="302">
        <f t="shared" si="36"/>
        <v>2064.3896248289998</v>
      </c>
      <c r="J121" s="302">
        <f t="shared" ref="J121:J122" si="37">I121*107.47/100</f>
        <v>2218.599529803726</v>
      </c>
      <c r="K121" s="241"/>
      <c r="L121" s="248"/>
      <c r="M121" s="248"/>
      <c r="N121" s="27"/>
      <c r="O121" s="28"/>
      <c r="P121" s="29"/>
      <c r="Q121" s="15"/>
    </row>
    <row r="122" spans="1:17" ht="13.5" thickBot="1" x14ac:dyDescent="0.25">
      <c r="A122" s="141"/>
      <c r="B122" s="308">
        <v>3</v>
      </c>
      <c r="C122" s="195"/>
      <c r="D122" s="195"/>
      <c r="E122" s="303">
        <v>656.5</v>
      </c>
      <c r="F122" s="304">
        <v>2170.944</v>
      </c>
      <c r="G122" s="305">
        <f>F122*106.22/100</f>
        <v>2305.9767167999998</v>
      </c>
      <c r="H122" s="305">
        <f>G122*106.22/100</f>
        <v>2449.4084685849598</v>
      </c>
      <c r="I122" s="302">
        <f t="shared" si="36"/>
        <v>2642.4187197811198</v>
      </c>
      <c r="J122" s="302">
        <f t="shared" si="37"/>
        <v>2839.8073981487692</v>
      </c>
      <c r="K122" s="241"/>
      <c r="L122" s="248"/>
      <c r="M122" s="248"/>
      <c r="N122" s="27"/>
      <c r="O122" s="28"/>
      <c r="P122" s="29"/>
      <c r="Q122" s="15"/>
    </row>
    <row r="123" spans="1:17" x14ac:dyDescent="0.2">
      <c r="A123" s="141"/>
      <c r="B123" s="309"/>
      <c r="C123" s="195"/>
      <c r="D123" s="195"/>
      <c r="E123" s="303"/>
      <c r="F123" s="304"/>
      <c r="G123" s="305"/>
      <c r="H123" s="305"/>
      <c r="I123" s="302"/>
      <c r="J123" s="302"/>
      <c r="K123" s="241"/>
      <c r="L123" s="248"/>
      <c r="M123" s="248"/>
      <c r="N123" s="27"/>
      <c r="O123" s="28"/>
      <c r="P123" s="29"/>
      <c r="Q123" s="15"/>
    </row>
    <row r="124" spans="1:17" x14ac:dyDescent="0.2">
      <c r="A124" s="182" t="s">
        <v>67</v>
      </c>
      <c r="B124" s="306"/>
      <c r="C124" s="195" t="s">
        <v>68</v>
      </c>
      <c r="D124" s="195"/>
      <c r="E124" s="303">
        <v>787.8</v>
      </c>
      <c r="F124" s="304">
        <v>3426.0209999999997</v>
      </c>
      <c r="G124" s="305">
        <f>F124*106.22/100</f>
        <v>3639.1195061999997</v>
      </c>
      <c r="H124" s="305">
        <f>G124*106.22/100</f>
        <v>3865.4727394856395</v>
      </c>
      <c r="I124" s="302">
        <f t="shared" si="36"/>
        <v>4170.0670421545792</v>
      </c>
      <c r="J124" s="302">
        <f>I124*107.47/100</f>
        <v>4481.5710502035263</v>
      </c>
      <c r="K124" s="241"/>
      <c r="L124" s="248"/>
      <c r="M124" s="248"/>
      <c r="N124" s="27"/>
      <c r="O124" s="28"/>
      <c r="P124" s="29"/>
      <c r="Q124" s="6"/>
    </row>
    <row r="125" spans="1:17" x14ac:dyDescent="0.2">
      <c r="A125" s="182"/>
      <c r="B125" s="306"/>
      <c r="C125" s="195"/>
      <c r="D125" s="195"/>
      <c r="E125" s="303"/>
      <c r="F125" s="304"/>
      <c r="G125" s="305"/>
      <c r="H125" s="305"/>
      <c r="I125" s="302"/>
      <c r="J125" s="302"/>
      <c r="K125" s="241"/>
      <c r="L125" s="248"/>
      <c r="M125" s="248"/>
      <c r="N125" s="27"/>
      <c r="O125" s="28"/>
      <c r="P125" s="29"/>
      <c r="Q125" s="6"/>
    </row>
    <row r="126" spans="1:17" ht="13.5" thickBot="1" x14ac:dyDescent="0.25">
      <c r="A126" s="182" t="s">
        <v>19</v>
      </c>
      <c r="B126" s="306"/>
      <c r="C126" s="195"/>
      <c r="D126" s="195"/>
      <c r="E126" s="303"/>
      <c r="F126" s="304"/>
      <c r="G126" s="305"/>
      <c r="H126" s="305"/>
      <c r="I126" s="302"/>
      <c r="J126" s="302"/>
      <c r="K126" s="241"/>
      <c r="L126" s="248"/>
      <c r="M126" s="248"/>
      <c r="N126" s="27"/>
      <c r="O126" s="28"/>
      <c r="P126" s="29"/>
      <c r="Q126" s="6"/>
    </row>
    <row r="127" spans="1:17" x14ac:dyDescent="0.2">
      <c r="A127" s="182"/>
      <c r="B127" s="307">
        <v>1</v>
      </c>
      <c r="C127" s="195"/>
      <c r="D127" s="195"/>
      <c r="E127" s="303">
        <v>157.56</v>
      </c>
      <c r="F127" s="304">
        <v>565.35</v>
      </c>
      <c r="G127" s="305">
        <f>F127*106.22/100</f>
        <v>600.51477</v>
      </c>
      <c r="H127" s="305">
        <f>G127*106.22/100</f>
        <v>637.86678869399998</v>
      </c>
      <c r="I127" s="302">
        <f t="shared" si="36"/>
        <v>688.129874943</v>
      </c>
      <c r="J127" s="302">
        <f t="shared" ref="J127:J128" si="38">I127*107.47/100</f>
        <v>739.53317660124219</v>
      </c>
      <c r="K127" s="241"/>
      <c r="L127" s="248"/>
      <c r="M127" s="248"/>
      <c r="N127" s="27"/>
      <c r="O127" s="28"/>
      <c r="P127" s="29"/>
      <c r="Q127" s="6"/>
    </row>
    <row r="128" spans="1:17" ht="13.5" thickBot="1" x14ac:dyDescent="0.25">
      <c r="A128" s="141"/>
      <c r="B128" s="308">
        <v>3</v>
      </c>
      <c r="C128" s="195"/>
      <c r="D128" s="195"/>
      <c r="E128" s="310">
        <v>262.59999999999997</v>
      </c>
      <c r="F128" s="311">
        <v>791.49</v>
      </c>
      <c r="G128" s="312">
        <f>F128*106.22/100</f>
        <v>840.72067800000002</v>
      </c>
      <c r="H128" s="312">
        <f>G128*106.22/100</f>
        <v>893.01350417160006</v>
      </c>
      <c r="I128" s="302">
        <f t="shared" si="36"/>
        <v>963.38182492019996</v>
      </c>
      <c r="J128" s="302">
        <f t="shared" si="38"/>
        <v>1035.346447241739</v>
      </c>
      <c r="K128" s="241"/>
      <c r="L128" s="248"/>
      <c r="M128" s="248"/>
      <c r="N128" s="27"/>
      <c r="O128" s="28"/>
      <c r="P128" s="29"/>
      <c r="Q128" s="15"/>
    </row>
    <row r="129" spans="1:18" ht="13.5" thickBot="1" x14ac:dyDescent="0.25">
      <c r="A129" s="141"/>
      <c r="B129" s="195"/>
      <c r="C129" s="195"/>
      <c r="D129" s="195"/>
      <c r="E129" s="195"/>
      <c r="F129" s="195"/>
      <c r="G129" s="195"/>
      <c r="H129" s="195"/>
      <c r="I129" s="195"/>
      <c r="J129" s="187"/>
      <c r="K129" s="187"/>
      <c r="L129" s="187"/>
      <c r="M129" s="4"/>
      <c r="N129" s="15"/>
      <c r="O129" s="19"/>
      <c r="P129" s="6"/>
    </row>
    <row r="130" spans="1:18" ht="24.75" thickBot="1" x14ac:dyDescent="0.25">
      <c r="A130" s="182" t="s">
        <v>69</v>
      </c>
      <c r="B130" s="313"/>
      <c r="C130" s="314"/>
      <c r="D130" s="139"/>
      <c r="E130" s="315"/>
      <c r="F130" s="295" t="s">
        <v>113</v>
      </c>
      <c r="G130" s="296" t="s">
        <v>66</v>
      </c>
      <c r="H130" s="296" t="s">
        <v>97</v>
      </c>
      <c r="I130" s="297" t="s">
        <v>103</v>
      </c>
      <c r="J130" s="297" t="s">
        <v>115</v>
      </c>
      <c r="K130" s="316"/>
      <c r="L130" s="187"/>
      <c r="M130" s="187"/>
      <c r="N130" s="4"/>
      <c r="O130" s="4"/>
      <c r="R130" s="15"/>
    </row>
    <row r="131" spans="1:18" x14ac:dyDescent="0.2">
      <c r="A131" s="182"/>
      <c r="B131" s="249"/>
      <c r="C131" s="317"/>
      <c r="D131" s="139"/>
      <c r="E131" s="318" t="s">
        <v>70</v>
      </c>
      <c r="F131" s="319"/>
      <c r="G131" s="319"/>
      <c r="H131" s="319"/>
      <c r="I131" s="319"/>
      <c r="J131" s="319"/>
      <c r="K131" s="213"/>
      <c r="L131" s="320"/>
      <c r="M131" s="187"/>
      <c r="N131" s="4"/>
      <c r="O131" s="4"/>
      <c r="R131" s="15"/>
    </row>
    <row r="132" spans="1:18" x14ac:dyDescent="0.2">
      <c r="A132" s="141"/>
      <c r="B132" s="141"/>
      <c r="C132" s="141"/>
      <c r="D132" s="141"/>
      <c r="E132" s="217" t="s">
        <v>71</v>
      </c>
      <c r="F132" s="321">
        <v>3392.1</v>
      </c>
      <c r="G132" s="321">
        <f t="shared" ref="G132:H134" si="39">F132*106.22/100</f>
        <v>3603.0886199999995</v>
      </c>
      <c r="H132" s="321">
        <f t="shared" si="39"/>
        <v>3827.2007321639994</v>
      </c>
      <c r="I132" s="321">
        <f>G132*114.59/100</f>
        <v>4128.7792496579996</v>
      </c>
      <c r="J132" s="321">
        <f>I132*107.47/100</f>
        <v>4437.199059607452</v>
      </c>
      <c r="K132" s="217"/>
      <c r="L132" s="320"/>
      <c r="M132" s="187"/>
      <c r="N132" s="4"/>
      <c r="O132" s="4"/>
      <c r="R132" s="15"/>
    </row>
    <row r="133" spans="1:18" x14ac:dyDescent="0.2">
      <c r="A133" s="141"/>
      <c r="B133" s="141"/>
      <c r="C133" s="141"/>
      <c r="D133" s="141"/>
      <c r="E133" s="217" t="s">
        <v>72</v>
      </c>
      <c r="F133" s="321">
        <v>6784.2</v>
      </c>
      <c r="G133" s="321">
        <f t="shared" si="39"/>
        <v>7206.1772399999991</v>
      </c>
      <c r="H133" s="321">
        <f t="shared" si="39"/>
        <v>7654.4014643279988</v>
      </c>
      <c r="I133" s="321">
        <f t="shared" ref="I133:I144" si="40">G133*114.59/100</f>
        <v>8257.5584993159991</v>
      </c>
      <c r="J133" s="321">
        <f t="shared" ref="J133:J134" si="41">I133*107.47/100</f>
        <v>8874.398119214904</v>
      </c>
      <c r="K133" s="217"/>
      <c r="L133" s="320"/>
      <c r="M133" s="187"/>
      <c r="N133" s="4"/>
      <c r="O133" s="4"/>
      <c r="R133" s="15"/>
    </row>
    <row r="134" spans="1:18" x14ac:dyDescent="0.2">
      <c r="A134" s="141"/>
      <c r="B134" s="141"/>
      <c r="C134" s="141"/>
      <c r="D134" s="141"/>
      <c r="E134" s="217" t="s">
        <v>73</v>
      </c>
      <c r="F134" s="321">
        <v>13568.4</v>
      </c>
      <c r="G134" s="321">
        <f t="shared" si="39"/>
        <v>14412.354479999998</v>
      </c>
      <c r="H134" s="321">
        <f t="shared" si="39"/>
        <v>15308.802928655998</v>
      </c>
      <c r="I134" s="321">
        <f t="shared" si="40"/>
        <v>16515.116998631998</v>
      </c>
      <c r="J134" s="321">
        <f t="shared" si="41"/>
        <v>17748.796238429808</v>
      </c>
      <c r="K134" s="322" t="s">
        <v>84</v>
      </c>
      <c r="L134" s="323"/>
      <c r="M134" s="324"/>
      <c r="N134" s="17"/>
      <c r="O134" s="17"/>
      <c r="R134" s="16"/>
    </row>
    <row r="135" spans="1:18" x14ac:dyDescent="0.2">
      <c r="A135" s="141"/>
      <c r="B135" s="141"/>
      <c r="C135" s="141"/>
      <c r="D135" s="141"/>
      <c r="E135" s="322"/>
      <c r="F135" s="325"/>
      <c r="G135" s="325"/>
      <c r="H135" s="325"/>
      <c r="I135" s="321"/>
      <c r="J135" s="321"/>
      <c r="K135" s="322"/>
      <c r="L135" s="323"/>
      <c r="M135" s="324"/>
      <c r="N135" s="17"/>
      <c r="O135" s="17"/>
      <c r="R135" s="16"/>
    </row>
    <row r="136" spans="1:18" x14ac:dyDescent="0.2">
      <c r="A136" s="141"/>
      <c r="B136" s="141"/>
      <c r="C136" s="141"/>
      <c r="D136" s="141"/>
      <c r="E136" s="325" t="s">
        <v>49</v>
      </c>
      <c r="F136" s="321">
        <v>0</v>
      </c>
      <c r="G136" s="321">
        <f t="shared" ref="G136:H140" si="42">F136*106.22/100</f>
        <v>0</v>
      </c>
      <c r="H136" s="321">
        <f t="shared" si="42"/>
        <v>0</v>
      </c>
      <c r="I136" s="321">
        <f t="shared" si="40"/>
        <v>0</v>
      </c>
      <c r="J136" s="321">
        <f t="shared" ref="J136:J144" si="43">I136*107.47/100</f>
        <v>0</v>
      </c>
      <c r="K136" s="322"/>
      <c r="L136" s="323"/>
      <c r="M136" s="324"/>
      <c r="N136" s="17"/>
      <c r="O136" s="17"/>
      <c r="R136" s="16"/>
    </row>
    <row r="137" spans="1:18" x14ac:dyDescent="0.2">
      <c r="A137" s="141"/>
      <c r="B137" s="141"/>
      <c r="C137" s="141"/>
      <c r="D137" s="141"/>
      <c r="E137" s="322" t="s">
        <v>71</v>
      </c>
      <c r="F137" s="321">
        <v>0</v>
      </c>
      <c r="G137" s="321">
        <f t="shared" si="42"/>
        <v>0</v>
      </c>
      <c r="H137" s="321">
        <f t="shared" si="42"/>
        <v>0</v>
      </c>
      <c r="I137" s="321">
        <f t="shared" si="40"/>
        <v>0</v>
      </c>
      <c r="J137" s="321">
        <f t="shared" si="43"/>
        <v>0</v>
      </c>
      <c r="K137" s="322"/>
      <c r="L137" s="323"/>
      <c r="M137" s="324"/>
      <c r="N137" s="17"/>
      <c r="O137" s="17"/>
      <c r="R137" s="16"/>
    </row>
    <row r="138" spans="1:18" x14ac:dyDescent="0.2">
      <c r="A138" s="141"/>
      <c r="B138" s="141"/>
      <c r="C138" s="141"/>
      <c r="D138" s="141"/>
      <c r="E138" s="322" t="s">
        <v>72</v>
      </c>
      <c r="F138" s="321">
        <v>4522.8</v>
      </c>
      <c r="G138" s="321">
        <f t="shared" si="42"/>
        <v>4804.11816</v>
      </c>
      <c r="H138" s="321">
        <f t="shared" si="42"/>
        <v>5102.9343095519998</v>
      </c>
      <c r="I138" s="321">
        <f t="shared" si="40"/>
        <v>5505.038999544</v>
      </c>
      <c r="J138" s="321">
        <f t="shared" si="43"/>
        <v>5916.2654128099375</v>
      </c>
      <c r="K138" s="322"/>
      <c r="L138" s="323"/>
      <c r="M138" s="324"/>
      <c r="N138" s="17"/>
      <c r="O138" s="17"/>
      <c r="R138" s="16"/>
    </row>
    <row r="139" spans="1:18" x14ac:dyDescent="0.2">
      <c r="A139" s="141"/>
      <c r="B139" s="141"/>
      <c r="C139" s="141"/>
      <c r="D139" s="141"/>
      <c r="E139" s="322" t="s">
        <v>73</v>
      </c>
      <c r="F139" s="321">
        <v>9045.6</v>
      </c>
      <c r="G139" s="321">
        <f t="shared" si="42"/>
        <v>9608.23632</v>
      </c>
      <c r="H139" s="321">
        <f t="shared" si="42"/>
        <v>10205.868619104</v>
      </c>
      <c r="I139" s="321">
        <f t="shared" si="40"/>
        <v>11010.077999088</v>
      </c>
      <c r="J139" s="321">
        <f t="shared" si="43"/>
        <v>11832.530825619875</v>
      </c>
      <c r="K139" s="322"/>
      <c r="L139" s="323"/>
      <c r="M139" s="324"/>
      <c r="N139" s="17"/>
      <c r="O139" s="17"/>
      <c r="R139" s="16"/>
    </row>
    <row r="140" spans="1:18" x14ac:dyDescent="0.2">
      <c r="A140" s="141"/>
      <c r="B140" s="141"/>
      <c r="C140" s="141"/>
      <c r="D140" s="141"/>
      <c r="E140" s="322"/>
      <c r="F140" s="321">
        <v>18091.2</v>
      </c>
      <c r="G140" s="321">
        <f t="shared" si="42"/>
        <v>19216.47264</v>
      </c>
      <c r="H140" s="321">
        <f t="shared" si="42"/>
        <v>20411.737238207999</v>
      </c>
      <c r="I140" s="321">
        <f t="shared" si="40"/>
        <v>22020.155998176</v>
      </c>
      <c r="J140" s="321">
        <f t="shared" si="43"/>
        <v>23665.06165123975</v>
      </c>
      <c r="K140" s="322" t="s">
        <v>84</v>
      </c>
      <c r="L140" s="323"/>
      <c r="M140" s="324"/>
      <c r="N140" s="17"/>
      <c r="O140" s="17"/>
      <c r="R140" s="16"/>
    </row>
    <row r="141" spans="1:18" x14ac:dyDescent="0.2">
      <c r="A141" s="141"/>
      <c r="B141" s="141"/>
      <c r="C141" s="141"/>
      <c r="D141" s="141"/>
      <c r="E141" s="325" t="s">
        <v>74</v>
      </c>
      <c r="F141" s="325"/>
      <c r="G141" s="325"/>
      <c r="H141" s="325"/>
      <c r="I141" s="321"/>
      <c r="J141" s="321"/>
      <c r="K141" s="322"/>
      <c r="L141" s="323"/>
      <c r="M141" s="324"/>
      <c r="N141" s="17"/>
      <c r="O141" s="17"/>
      <c r="R141" s="16"/>
    </row>
    <row r="142" spans="1:18" x14ac:dyDescent="0.2">
      <c r="A142" s="141"/>
      <c r="B142" s="141"/>
      <c r="C142" s="141"/>
      <c r="D142" s="141"/>
      <c r="E142" s="322" t="s">
        <v>71</v>
      </c>
      <c r="F142" s="321">
        <v>6784.2</v>
      </c>
      <c r="G142" s="321">
        <f t="shared" ref="G142:H144" si="44">F142*106.22/100</f>
        <v>7206.1772399999991</v>
      </c>
      <c r="H142" s="321">
        <f t="shared" si="44"/>
        <v>7654.4014643279988</v>
      </c>
      <c r="I142" s="321">
        <f t="shared" si="40"/>
        <v>8257.5584993159991</v>
      </c>
      <c r="J142" s="321">
        <f t="shared" si="43"/>
        <v>8874.398119214904</v>
      </c>
      <c r="K142" s="322"/>
      <c r="L142" s="323"/>
      <c r="M142" s="324"/>
      <c r="N142" s="17"/>
      <c r="O142" s="17"/>
      <c r="R142" s="16"/>
    </row>
    <row r="143" spans="1:18" x14ac:dyDescent="0.2">
      <c r="A143" s="141"/>
      <c r="B143" s="141"/>
      <c r="C143" s="141"/>
      <c r="D143" s="141"/>
      <c r="E143" s="322" t="s">
        <v>72</v>
      </c>
      <c r="F143" s="321">
        <v>13568.4</v>
      </c>
      <c r="G143" s="321">
        <f t="shared" si="44"/>
        <v>14412.354479999998</v>
      </c>
      <c r="H143" s="321">
        <f t="shared" si="44"/>
        <v>15308.802928655998</v>
      </c>
      <c r="I143" s="321">
        <f t="shared" si="40"/>
        <v>16515.116998631998</v>
      </c>
      <c r="J143" s="321">
        <f t="shared" si="43"/>
        <v>17748.796238429808</v>
      </c>
      <c r="K143" s="322"/>
      <c r="L143" s="323"/>
      <c r="M143" s="324"/>
      <c r="N143" s="17"/>
      <c r="O143" s="17"/>
      <c r="R143" s="16"/>
    </row>
    <row r="144" spans="1:18" x14ac:dyDescent="0.2">
      <c r="A144" s="16"/>
      <c r="E144" s="11" t="s">
        <v>73</v>
      </c>
      <c r="F144" s="34">
        <v>27136.799999999999</v>
      </c>
      <c r="G144" s="34">
        <f t="shared" si="44"/>
        <v>28824.708959999996</v>
      </c>
      <c r="H144" s="34">
        <f t="shared" si="44"/>
        <v>30617.605857311995</v>
      </c>
      <c r="I144" s="34">
        <f t="shared" si="40"/>
        <v>33030.233997263997</v>
      </c>
      <c r="J144" s="34">
        <f t="shared" si="43"/>
        <v>35497.592476859616</v>
      </c>
      <c r="K144" s="11" t="s">
        <v>84</v>
      </c>
      <c r="L144" s="30"/>
      <c r="M144" s="17"/>
      <c r="N144" s="17"/>
      <c r="O144" s="17"/>
      <c r="R144" s="16"/>
    </row>
    <row r="145" spans="1:13" x14ac:dyDescent="0.2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12"/>
      <c r="M145" s="7"/>
    </row>
    <row r="146" spans="1:13" x14ac:dyDescent="0.2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12"/>
      <c r="M146" s="7"/>
    </row>
    <row r="147" spans="1:13" x14ac:dyDescent="0.2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12"/>
      <c r="M147" s="7"/>
    </row>
    <row r="148" spans="1:13" x14ac:dyDescent="0.2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12"/>
      <c r="M148" s="7"/>
    </row>
    <row r="149" spans="1:13" x14ac:dyDescent="0.2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12"/>
      <c r="M149" s="7"/>
    </row>
    <row r="150" spans="1:13" x14ac:dyDescent="0.2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12"/>
      <c r="M150" s="7"/>
    </row>
    <row r="151" spans="1:13" x14ac:dyDescent="0.2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12"/>
      <c r="M151" s="7"/>
    </row>
    <row r="152" spans="1:13" x14ac:dyDescent="0.2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12"/>
      <c r="M152" s="7"/>
    </row>
    <row r="153" spans="1:13" x14ac:dyDescent="0.2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12"/>
      <c r="M153" s="7"/>
    </row>
    <row r="154" spans="1:13" x14ac:dyDescent="0.2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12"/>
      <c r="M154" s="7"/>
    </row>
    <row r="155" spans="1:13" x14ac:dyDescent="0.2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12"/>
      <c r="M155" s="7"/>
    </row>
    <row r="156" spans="1:13" x14ac:dyDescent="0.2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12"/>
      <c r="M156" s="7"/>
    </row>
    <row r="157" spans="1:13" x14ac:dyDescent="0.2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12"/>
      <c r="M157" s="7"/>
    </row>
    <row r="158" spans="1:13" x14ac:dyDescent="0.2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12"/>
      <c r="M158" s="7"/>
    </row>
    <row r="159" spans="1:13" x14ac:dyDescent="0.2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12"/>
      <c r="M159" s="7"/>
    </row>
    <row r="160" spans="1:13" x14ac:dyDescent="0.2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12"/>
      <c r="M160" s="7"/>
    </row>
    <row r="161" spans="1:13" x14ac:dyDescent="0.2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12"/>
      <c r="M161" s="7"/>
    </row>
    <row r="162" spans="1:13" x14ac:dyDescent="0.2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12"/>
      <c r="M162" s="7"/>
    </row>
    <row r="163" spans="1:13" x14ac:dyDescent="0.2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12"/>
      <c r="M163" s="7"/>
    </row>
    <row r="164" spans="1:13" x14ac:dyDescent="0.2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12"/>
      <c r="M164" s="7"/>
    </row>
    <row r="165" spans="1:13" x14ac:dyDescent="0.2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12"/>
      <c r="M165" s="7"/>
    </row>
    <row r="166" spans="1:13" x14ac:dyDescent="0.2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12"/>
      <c r="M166" s="7"/>
    </row>
    <row r="167" spans="1:13" x14ac:dyDescent="0.2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12"/>
      <c r="M167" s="7"/>
    </row>
    <row r="168" spans="1:13" x14ac:dyDescent="0.2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12"/>
      <c r="M168" s="7"/>
    </row>
    <row r="169" spans="1:13" x14ac:dyDescent="0.2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12"/>
      <c r="M169" s="7"/>
    </row>
    <row r="170" spans="1:13" x14ac:dyDescent="0.2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12"/>
      <c r="M170" s="7"/>
    </row>
    <row r="171" spans="1:13" x14ac:dyDescent="0.2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12"/>
      <c r="M171" s="7"/>
    </row>
    <row r="172" spans="1:13" x14ac:dyDescent="0.2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12"/>
      <c r="M172" s="7"/>
    </row>
    <row r="173" spans="1:13" x14ac:dyDescent="0.2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12"/>
      <c r="M173" s="7"/>
    </row>
    <row r="174" spans="1:13" x14ac:dyDescent="0.2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12"/>
      <c r="M174" s="7"/>
    </row>
    <row r="175" spans="1:13" x14ac:dyDescent="0.2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12"/>
      <c r="M175" s="7"/>
    </row>
    <row r="176" spans="1:13" x14ac:dyDescent="0.2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12"/>
      <c r="M176" s="7"/>
    </row>
    <row r="177" spans="1:13" x14ac:dyDescent="0.2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12"/>
      <c r="M177" s="7"/>
    </row>
    <row r="178" spans="1:13" x14ac:dyDescent="0.2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12"/>
      <c r="M178" s="7"/>
    </row>
    <row r="179" spans="1:13" x14ac:dyDescent="0.2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12"/>
      <c r="M179" s="7"/>
    </row>
    <row r="180" spans="1:13" x14ac:dyDescent="0.2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12"/>
      <c r="M180" s="7"/>
    </row>
    <row r="181" spans="1:13" x14ac:dyDescent="0.2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12"/>
      <c r="M181" s="7"/>
    </row>
    <row r="182" spans="1:13" x14ac:dyDescent="0.2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12"/>
      <c r="M182" s="7"/>
    </row>
    <row r="183" spans="1:13" x14ac:dyDescent="0.2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12"/>
      <c r="M183" s="7"/>
    </row>
    <row r="184" spans="1:13" x14ac:dyDescent="0.2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12"/>
      <c r="M184" s="7"/>
    </row>
    <row r="185" spans="1:13" x14ac:dyDescent="0.2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12"/>
      <c r="M185" s="7"/>
    </row>
    <row r="186" spans="1:13" x14ac:dyDescent="0.2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12"/>
      <c r="M186" s="7"/>
    </row>
    <row r="187" spans="1:13" x14ac:dyDescent="0.2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12"/>
      <c r="M187" s="7"/>
    </row>
    <row r="188" spans="1:13" x14ac:dyDescent="0.2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12"/>
      <c r="M188" s="7"/>
    </row>
    <row r="189" spans="1:13" x14ac:dyDescent="0.2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12"/>
      <c r="M189" s="7"/>
    </row>
    <row r="190" spans="1:13" x14ac:dyDescent="0.2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12"/>
      <c r="M190" s="7"/>
    </row>
    <row r="191" spans="1:13" x14ac:dyDescent="0.2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12"/>
      <c r="M191" s="7"/>
    </row>
    <row r="192" spans="1:13" x14ac:dyDescent="0.2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12"/>
      <c r="M192" s="7"/>
    </row>
    <row r="193" spans="1:13" x14ac:dyDescent="0.2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12"/>
      <c r="M193" s="7"/>
    </row>
    <row r="194" spans="1:13" x14ac:dyDescent="0.2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12"/>
      <c r="M194" s="7"/>
    </row>
    <row r="195" spans="1:13" x14ac:dyDescent="0.2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12"/>
      <c r="M195" s="7"/>
    </row>
    <row r="196" spans="1:13" x14ac:dyDescent="0.2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12"/>
      <c r="M196" s="7"/>
    </row>
    <row r="197" spans="1:13" x14ac:dyDescent="0.2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12"/>
      <c r="M197" s="7"/>
    </row>
    <row r="198" spans="1:13" x14ac:dyDescent="0.2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12"/>
      <c r="M198" s="7"/>
    </row>
    <row r="199" spans="1:13" x14ac:dyDescent="0.2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12"/>
      <c r="M199" s="7"/>
    </row>
    <row r="200" spans="1:13" x14ac:dyDescent="0.2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12"/>
      <c r="M200" s="7"/>
    </row>
    <row r="201" spans="1:13" x14ac:dyDescent="0.2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12"/>
      <c r="M201" s="7"/>
    </row>
    <row r="202" spans="1:13" x14ac:dyDescent="0.2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12"/>
      <c r="M202" s="7"/>
    </row>
    <row r="203" spans="1:13" x14ac:dyDescent="0.2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12"/>
      <c r="M203" s="7"/>
    </row>
    <row r="204" spans="1:13" x14ac:dyDescent="0.2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12"/>
      <c r="M204" s="7"/>
    </row>
    <row r="205" spans="1:13" x14ac:dyDescent="0.2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12"/>
      <c r="M205" s="7"/>
    </row>
    <row r="206" spans="1:13" x14ac:dyDescent="0.2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12"/>
      <c r="M206" s="7"/>
    </row>
    <row r="207" spans="1:13" x14ac:dyDescent="0.2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12"/>
      <c r="M207" s="7"/>
    </row>
    <row r="208" spans="1:13" x14ac:dyDescent="0.2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12"/>
      <c r="M208" s="7"/>
    </row>
    <row r="209" spans="1:13" x14ac:dyDescent="0.2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12"/>
      <c r="M209" s="7"/>
    </row>
    <row r="210" spans="1:13" x14ac:dyDescent="0.2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12"/>
      <c r="M210" s="7"/>
    </row>
    <row r="211" spans="1:13" x14ac:dyDescent="0.2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12"/>
      <c r="M211" s="7"/>
    </row>
    <row r="212" spans="1:13" x14ac:dyDescent="0.2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12"/>
      <c r="M212" s="7"/>
    </row>
    <row r="213" spans="1:13" x14ac:dyDescent="0.2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12"/>
      <c r="M213" s="7"/>
    </row>
    <row r="214" spans="1:13" x14ac:dyDescent="0.2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12"/>
      <c r="M214" s="7"/>
    </row>
    <row r="215" spans="1:13" x14ac:dyDescent="0.2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12"/>
      <c r="M215" s="7"/>
    </row>
    <row r="216" spans="1:13" x14ac:dyDescent="0.2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12"/>
      <c r="M216" s="7"/>
    </row>
    <row r="217" spans="1:13" x14ac:dyDescent="0.2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12"/>
      <c r="M217" s="7"/>
    </row>
    <row r="218" spans="1:13" x14ac:dyDescent="0.2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12"/>
      <c r="M218" s="7"/>
    </row>
    <row r="219" spans="1:13" x14ac:dyDescent="0.2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12"/>
      <c r="M219" s="7"/>
    </row>
    <row r="220" spans="1:13" x14ac:dyDescent="0.2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12"/>
      <c r="M220" s="7"/>
    </row>
    <row r="221" spans="1:13" x14ac:dyDescent="0.2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12"/>
      <c r="M221" s="7"/>
    </row>
    <row r="222" spans="1:13" x14ac:dyDescent="0.2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12"/>
      <c r="M222" s="7"/>
    </row>
    <row r="223" spans="1:13" x14ac:dyDescent="0.2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12"/>
      <c r="M223" s="7"/>
    </row>
    <row r="224" spans="1:13" x14ac:dyDescent="0.2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12"/>
      <c r="M224" s="7"/>
    </row>
    <row r="225" spans="1:13" x14ac:dyDescent="0.2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12"/>
      <c r="M225" s="7"/>
    </row>
    <row r="226" spans="1:13" x14ac:dyDescent="0.2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12"/>
      <c r="M226" s="7"/>
    </row>
    <row r="227" spans="1:13" x14ac:dyDescent="0.2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12"/>
      <c r="M227" s="7"/>
    </row>
  </sheetData>
  <mergeCells count="6">
    <mergeCell ref="A103:B103"/>
    <mergeCell ref="B1:I1"/>
    <mergeCell ref="B2:I4"/>
    <mergeCell ref="A101:B101"/>
    <mergeCell ref="A102:B102"/>
    <mergeCell ref="F99:J99"/>
  </mergeCells>
  <pageMargins left="1" right="1" top="1" bottom="1" header="0.5" footer="0.5"/>
  <pageSetup paperSize="9" scale="53" fitToHeight="0" orientation="landscape" r:id="rId1"/>
  <rowBreaks count="2" manualBreakCount="2">
    <brk id="43" max="16383" man="1"/>
    <brk id="93" max="10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9"/>
  <sheetViews>
    <sheetView tabSelected="1" view="pageBreakPreview" zoomScaleNormal="100" zoomScaleSheetLayoutView="100" workbookViewId="0">
      <pane xSplit="1" ySplit="2" topLeftCell="B3" activePane="bottomRight" state="frozen"/>
      <selection activeCell="E65" sqref="E65"/>
      <selection pane="topRight" activeCell="E65" sqref="E65"/>
      <selection pane="bottomLeft" activeCell="E65" sqref="E65"/>
      <selection pane="bottomRight" activeCell="G73" sqref="G73"/>
    </sheetView>
  </sheetViews>
  <sheetFormatPr defaultRowHeight="12.75" x14ac:dyDescent="0.2"/>
  <cols>
    <col min="2" max="2" width="27.28515625" customWidth="1"/>
    <col min="3" max="3" width="16.140625" customWidth="1"/>
    <col min="4" max="4" width="18.28515625" customWidth="1"/>
    <col min="5" max="5" width="17.85546875" customWidth="1"/>
    <col min="6" max="6" width="14.7109375" hidden="1" customWidth="1"/>
    <col min="7" max="7" width="14.7109375" customWidth="1"/>
    <col min="8" max="8" width="19" customWidth="1"/>
  </cols>
  <sheetData>
    <row r="1" spans="1:8" ht="13.5" thickBot="1" x14ac:dyDescent="0.25">
      <c r="A1" s="54"/>
      <c r="B1" s="54"/>
      <c r="C1" s="54"/>
      <c r="D1" s="54"/>
      <c r="E1" s="54"/>
      <c r="F1" s="54"/>
      <c r="G1" s="54"/>
      <c r="H1" s="54"/>
    </row>
    <row r="2" spans="1:8" ht="45.75" thickBot="1" x14ac:dyDescent="0.25">
      <c r="A2" s="54"/>
      <c r="B2" s="39"/>
      <c r="C2" s="35" t="s">
        <v>30</v>
      </c>
      <c r="D2" s="36" t="s">
        <v>12</v>
      </c>
      <c r="E2" s="37" t="s">
        <v>25</v>
      </c>
      <c r="F2" s="38" t="s">
        <v>95</v>
      </c>
      <c r="G2" s="38" t="s">
        <v>116</v>
      </c>
      <c r="H2" s="38" t="s">
        <v>117</v>
      </c>
    </row>
    <row r="3" spans="1:8" ht="13.5" thickBot="1" x14ac:dyDescent="0.25">
      <c r="A3" s="54"/>
      <c r="B3" s="75"/>
      <c r="C3" s="76"/>
      <c r="D3" s="77"/>
      <c r="E3" s="78"/>
      <c r="F3" s="79"/>
      <c r="G3" s="79"/>
      <c r="H3" s="54"/>
    </row>
    <row r="4" spans="1:8" ht="13.5" thickBot="1" x14ac:dyDescent="0.25">
      <c r="A4" s="54"/>
      <c r="B4" s="338" t="s">
        <v>90</v>
      </c>
      <c r="C4" s="339"/>
      <c r="D4" s="339"/>
      <c r="E4" s="339"/>
      <c r="F4" s="340"/>
      <c r="G4" s="54"/>
      <c r="H4" s="54"/>
    </row>
    <row r="5" spans="1:8" ht="12" customHeight="1" x14ac:dyDescent="0.2">
      <c r="A5" s="54"/>
      <c r="B5" s="40" t="s">
        <v>21</v>
      </c>
      <c r="C5" s="41">
        <v>368</v>
      </c>
      <c r="D5" s="41">
        <v>50</v>
      </c>
      <c r="E5" s="42" t="s">
        <v>26</v>
      </c>
      <c r="F5" s="126">
        <f>'2022-2023'!F47</f>
        <v>1.0809265859999997</v>
      </c>
      <c r="G5" s="126">
        <v>123.76</v>
      </c>
      <c r="H5" s="129">
        <f>G5*107.47/100</f>
        <v>133.00487200000001</v>
      </c>
    </row>
    <row r="6" spans="1:8" x14ac:dyDescent="0.2">
      <c r="A6" s="54"/>
      <c r="B6" s="43" t="s">
        <v>22</v>
      </c>
      <c r="C6" s="44">
        <v>320</v>
      </c>
      <c r="D6" s="45">
        <v>299</v>
      </c>
      <c r="E6" s="46" t="s">
        <v>27</v>
      </c>
      <c r="F6" s="127">
        <v>1.41</v>
      </c>
      <c r="G6" s="127">
        <v>161.57</v>
      </c>
      <c r="H6" s="129">
        <f t="shared" ref="H6:H9" si="0">G6*107.47/100</f>
        <v>173.63927899999999</v>
      </c>
    </row>
    <row r="7" spans="1:8" x14ac:dyDescent="0.2">
      <c r="A7" s="54"/>
      <c r="B7" s="43" t="s">
        <v>23</v>
      </c>
      <c r="C7" s="44">
        <v>276</v>
      </c>
      <c r="D7" s="45">
        <v>649</v>
      </c>
      <c r="E7" s="48" t="s">
        <v>28</v>
      </c>
      <c r="F7" s="127">
        <f>'2022-2023'!F49</f>
        <v>1.7655134237999999</v>
      </c>
      <c r="G7" s="127">
        <v>202.82</v>
      </c>
      <c r="H7" s="129">
        <f t="shared" si="0"/>
        <v>217.970654</v>
      </c>
    </row>
    <row r="8" spans="1:8" x14ac:dyDescent="0.2">
      <c r="A8" s="54"/>
      <c r="B8" s="43" t="s">
        <v>24</v>
      </c>
      <c r="C8" s="44">
        <v>220</v>
      </c>
      <c r="D8" s="45">
        <v>513</v>
      </c>
      <c r="E8" s="48" t="s">
        <v>29</v>
      </c>
      <c r="F8" s="127">
        <f>'2022-2023'!F50</f>
        <v>2.1138119904000003</v>
      </c>
      <c r="G8" s="127">
        <v>241.78</v>
      </c>
      <c r="H8" s="129">
        <f t="shared" si="0"/>
        <v>259.84096599999998</v>
      </c>
    </row>
    <row r="9" spans="1:8" ht="13.5" thickBot="1" x14ac:dyDescent="0.25">
      <c r="A9" s="54"/>
      <c r="B9" s="88" t="s">
        <v>118</v>
      </c>
      <c r="C9" s="50"/>
      <c r="D9" s="51"/>
      <c r="E9" s="52"/>
      <c r="F9" s="128">
        <f>'2022-2023'!F9</f>
        <v>201.37875416525324</v>
      </c>
      <c r="G9" s="128">
        <v>230.76</v>
      </c>
      <c r="H9" s="129">
        <f t="shared" si="0"/>
        <v>247.997772</v>
      </c>
    </row>
    <row r="10" spans="1:8" ht="13.5" thickBot="1" x14ac:dyDescent="0.25">
      <c r="A10" s="54"/>
      <c r="B10" s="55"/>
      <c r="C10" s="56"/>
      <c r="D10" s="57"/>
      <c r="E10" s="58"/>
      <c r="F10" s="59"/>
      <c r="G10" s="59"/>
      <c r="H10" s="54"/>
    </row>
    <row r="11" spans="1:8" ht="13.5" thickBot="1" x14ac:dyDescent="0.25">
      <c r="A11" s="54"/>
      <c r="B11" s="338" t="s">
        <v>92</v>
      </c>
      <c r="C11" s="339"/>
      <c r="D11" s="339"/>
      <c r="E11" s="339"/>
      <c r="F11" s="340"/>
      <c r="G11" s="131"/>
      <c r="H11" s="131"/>
    </row>
    <row r="12" spans="1:8" ht="12" customHeight="1" x14ac:dyDescent="0.2">
      <c r="A12" s="54"/>
      <c r="B12" s="40" t="s">
        <v>21</v>
      </c>
      <c r="C12" s="41">
        <v>368</v>
      </c>
      <c r="D12" s="41">
        <v>50</v>
      </c>
      <c r="E12" s="42" t="s">
        <v>26</v>
      </c>
      <c r="F12" s="126">
        <f>'2022-2023'!F47</f>
        <v>1.0809265859999997</v>
      </c>
      <c r="G12" s="126">
        <v>123.76</v>
      </c>
      <c r="H12" s="129">
        <f t="shared" ref="H12:H16" si="1">G12*107.47/100</f>
        <v>133.00487200000001</v>
      </c>
    </row>
    <row r="13" spans="1:8" x14ac:dyDescent="0.2">
      <c r="A13" s="54"/>
      <c r="B13" s="43" t="s">
        <v>22</v>
      </c>
      <c r="C13" s="44">
        <v>320</v>
      </c>
      <c r="D13" s="45">
        <v>299</v>
      </c>
      <c r="E13" s="46" t="s">
        <v>27</v>
      </c>
      <c r="F13" s="127">
        <v>1.41</v>
      </c>
      <c r="G13" s="127">
        <v>161.57</v>
      </c>
      <c r="H13" s="129">
        <f t="shared" si="1"/>
        <v>173.63927899999999</v>
      </c>
    </row>
    <row r="14" spans="1:8" x14ac:dyDescent="0.2">
      <c r="A14" s="54"/>
      <c r="B14" s="43" t="s">
        <v>23</v>
      </c>
      <c r="C14" s="44">
        <v>276</v>
      </c>
      <c r="D14" s="45">
        <v>649</v>
      </c>
      <c r="E14" s="48" t="s">
        <v>28</v>
      </c>
      <c r="F14" s="127">
        <f>'2022-2023'!F49</f>
        <v>1.7655134237999999</v>
      </c>
      <c r="G14" s="127">
        <v>202.82</v>
      </c>
      <c r="H14" s="129">
        <f t="shared" si="1"/>
        <v>217.970654</v>
      </c>
    </row>
    <row r="15" spans="1:8" x14ac:dyDescent="0.2">
      <c r="A15" s="54"/>
      <c r="B15" s="43" t="s">
        <v>24</v>
      </c>
      <c r="C15" s="44">
        <v>220</v>
      </c>
      <c r="D15" s="45">
        <v>513</v>
      </c>
      <c r="E15" s="48" t="s">
        <v>29</v>
      </c>
      <c r="F15" s="127">
        <f>'2022-2023'!F50</f>
        <v>2.1138119904000003</v>
      </c>
      <c r="G15" s="127">
        <v>241.78</v>
      </c>
      <c r="H15" s="129">
        <f t="shared" si="1"/>
        <v>259.84096599999998</v>
      </c>
    </row>
    <row r="16" spans="1:8" ht="13.5" thickBot="1" x14ac:dyDescent="0.25">
      <c r="A16" s="54"/>
      <c r="B16" s="88" t="s">
        <v>119</v>
      </c>
      <c r="C16" s="50"/>
      <c r="D16" s="51"/>
      <c r="E16" s="52"/>
      <c r="F16" s="128">
        <f>'2022-2023'!F10</f>
        <v>322.29308936890902</v>
      </c>
      <c r="G16" s="128">
        <f t="shared" ref="G16" si="2">F16*114.59/100</f>
        <v>369.31565110783288</v>
      </c>
      <c r="H16" s="129">
        <f t="shared" si="1"/>
        <v>396.90353024558794</v>
      </c>
    </row>
    <row r="17" spans="1:8" ht="13.5" thickBot="1" x14ac:dyDescent="0.25">
      <c r="A17" s="54"/>
      <c r="B17" s="60"/>
      <c r="C17" s="61"/>
      <c r="D17" s="62"/>
      <c r="E17" s="63"/>
      <c r="F17" s="64"/>
      <c r="G17" s="64"/>
      <c r="H17" s="132"/>
    </row>
    <row r="18" spans="1:8" ht="13.5" thickBot="1" x14ac:dyDescent="0.25">
      <c r="A18" s="54"/>
      <c r="B18" s="338" t="s">
        <v>31</v>
      </c>
      <c r="C18" s="339"/>
      <c r="D18" s="339"/>
      <c r="E18" s="339"/>
      <c r="F18" s="340"/>
      <c r="G18" s="130"/>
      <c r="H18" s="130"/>
    </row>
    <row r="19" spans="1:8" ht="13.5" thickBot="1" x14ac:dyDescent="0.25">
      <c r="A19" s="54"/>
      <c r="B19" s="100" t="s">
        <v>21</v>
      </c>
      <c r="C19" s="101">
        <v>579</v>
      </c>
      <c r="D19" s="111">
        <v>50</v>
      </c>
      <c r="E19" s="96" t="s">
        <v>26</v>
      </c>
      <c r="F19" s="103">
        <f>'2022-2023'!F54</f>
        <v>1.094066</v>
      </c>
      <c r="G19" s="103">
        <v>124</v>
      </c>
      <c r="H19" s="125">
        <f t="shared" ref="H19:H22" si="3">G19*107.47/100</f>
        <v>133.2628</v>
      </c>
    </row>
    <row r="20" spans="1:8" ht="13.5" thickBot="1" x14ac:dyDescent="0.25">
      <c r="A20" s="54"/>
      <c r="B20" s="43" t="s">
        <v>22</v>
      </c>
      <c r="C20" s="44">
        <v>579</v>
      </c>
      <c r="D20" s="104">
        <v>299</v>
      </c>
      <c r="E20" s="46" t="s">
        <v>27</v>
      </c>
      <c r="F20" s="47">
        <f>'2022-2023'!F55</f>
        <v>1.4119303272239998</v>
      </c>
      <c r="G20" s="47">
        <v>161.57</v>
      </c>
      <c r="H20" s="125">
        <f t="shared" si="3"/>
        <v>173.63927899999999</v>
      </c>
    </row>
    <row r="21" spans="1:8" ht="13.5" thickBot="1" x14ac:dyDescent="0.25">
      <c r="A21" s="54"/>
      <c r="B21" s="43" t="s">
        <v>23</v>
      </c>
      <c r="C21" s="44">
        <f>C20*67/100</f>
        <v>387.93</v>
      </c>
      <c r="D21" s="104">
        <v>249</v>
      </c>
      <c r="E21" s="46" t="s">
        <v>28</v>
      </c>
      <c r="F21" s="47">
        <f>'2022-2023'!F56</f>
        <v>1.8800939999999999</v>
      </c>
      <c r="G21" s="47">
        <v>215.43</v>
      </c>
      <c r="H21" s="125">
        <f t="shared" si="3"/>
        <v>231.52262099999999</v>
      </c>
    </row>
    <row r="22" spans="1:8" ht="13.5" thickBot="1" x14ac:dyDescent="0.25">
      <c r="A22" s="54"/>
      <c r="B22" s="49" t="s">
        <v>24</v>
      </c>
      <c r="C22" s="50">
        <f>C19*6/100</f>
        <v>34.74</v>
      </c>
      <c r="D22" s="86">
        <v>602</v>
      </c>
      <c r="E22" s="87" t="s">
        <v>29</v>
      </c>
      <c r="F22" s="53">
        <f>'2022-2023'!F57</f>
        <v>2.262486</v>
      </c>
      <c r="G22" s="53">
        <v>257.83</v>
      </c>
      <c r="H22" s="125">
        <f t="shared" si="3"/>
        <v>277.089901</v>
      </c>
    </row>
    <row r="23" spans="1:8" ht="13.5" thickBot="1" x14ac:dyDescent="0.25">
      <c r="A23" s="54"/>
      <c r="B23" s="60"/>
      <c r="C23" s="61"/>
      <c r="D23" s="62">
        <f>SUM(D19:D22)</f>
        <v>1200</v>
      </c>
      <c r="E23" s="73"/>
      <c r="F23" s="64"/>
      <c r="G23" s="64"/>
      <c r="H23" s="130"/>
    </row>
    <row r="24" spans="1:8" ht="13.5" thickBot="1" x14ac:dyDescent="0.25">
      <c r="A24" s="54"/>
      <c r="B24" s="338" t="s">
        <v>32</v>
      </c>
      <c r="C24" s="339"/>
      <c r="D24" s="339"/>
      <c r="E24" s="339"/>
      <c r="F24" s="340"/>
      <c r="G24" s="54"/>
      <c r="H24" s="54"/>
    </row>
    <row r="25" spans="1:8" ht="13.5" thickBot="1" x14ac:dyDescent="0.25">
      <c r="A25" s="54"/>
      <c r="B25" s="100" t="s">
        <v>21</v>
      </c>
      <c r="C25" s="101">
        <v>5</v>
      </c>
      <c r="D25" s="102">
        <v>50</v>
      </c>
      <c r="E25" s="96" t="s">
        <v>26</v>
      </c>
      <c r="F25" s="103">
        <f>'2022-2023'!F60</f>
        <v>1.1420301648770401</v>
      </c>
      <c r="G25" s="103">
        <v>130.63</v>
      </c>
      <c r="H25" s="125">
        <f t="shared" ref="H25:H28" si="4">G25*107.47/100</f>
        <v>140.38806099999999</v>
      </c>
    </row>
    <row r="26" spans="1:8" ht="13.5" thickBot="1" x14ac:dyDescent="0.25">
      <c r="A26" s="54"/>
      <c r="B26" s="43" t="s">
        <v>22</v>
      </c>
      <c r="C26" s="44">
        <v>5</v>
      </c>
      <c r="D26" s="104">
        <v>299</v>
      </c>
      <c r="E26" s="46" t="s">
        <v>27</v>
      </c>
      <c r="F26" s="47">
        <f>'2022-2023'!F61</f>
        <v>1.4628251550110398</v>
      </c>
      <c r="G26" s="47">
        <v>167.3</v>
      </c>
      <c r="H26" s="125">
        <f t="shared" si="4"/>
        <v>179.79731000000001</v>
      </c>
    </row>
    <row r="27" spans="1:8" ht="13.5" thickBot="1" x14ac:dyDescent="0.25">
      <c r="A27" s="54"/>
      <c r="B27" s="43" t="s">
        <v>23</v>
      </c>
      <c r="C27" s="44">
        <v>5</v>
      </c>
      <c r="D27" s="104">
        <v>249</v>
      </c>
      <c r="E27" s="46" t="s">
        <v>28</v>
      </c>
      <c r="F27" s="47">
        <f>'2022-2023'!F62</f>
        <v>1.9632653396200797</v>
      </c>
      <c r="G27" s="47">
        <v>223.45</v>
      </c>
      <c r="H27" s="125">
        <f t="shared" si="4"/>
        <v>240.14171499999998</v>
      </c>
    </row>
    <row r="28" spans="1:8" ht="13.5" thickBot="1" x14ac:dyDescent="0.25">
      <c r="A28" s="54"/>
      <c r="B28" s="49" t="s">
        <v>24</v>
      </c>
      <c r="C28" s="50">
        <v>5</v>
      </c>
      <c r="D28" s="86">
        <v>602</v>
      </c>
      <c r="E28" s="87" t="s">
        <v>29</v>
      </c>
      <c r="F28" s="53">
        <f>'2022-2023'!F63</f>
        <v>2.3353875281755201</v>
      </c>
      <c r="G28" s="53">
        <v>266.99</v>
      </c>
      <c r="H28" s="125">
        <f t="shared" si="4"/>
        <v>286.93415299999998</v>
      </c>
    </row>
    <row r="29" spans="1:8" ht="13.5" thickBot="1" x14ac:dyDescent="0.25">
      <c r="A29" s="54"/>
      <c r="B29" s="60"/>
      <c r="C29" s="61"/>
      <c r="D29" s="62"/>
      <c r="E29" s="73"/>
      <c r="F29" s="64"/>
      <c r="G29" s="64"/>
      <c r="H29" s="130"/>
    </row>
    <row r="30" spans="1:8" ht="13.5" thickBot="1" x14ac:dyDescent="0.25">
      <c r="A30" s="54"/>
      <c r="B30" s="338" t="s">
        <v>42</v>
      </c>
      <c r="C30" s="339"/>
      <c r="D30" s="339"/>
      <c r="E30" s="339"/>
      <c r="F30" s="340"/>
      <c r="G30" s="130"/>
      <c r="H30" s="130"/>
    </row>
    <row r="31" spans="1:8" ht="13.5" thickBot="1" x14ac:dyDescent="0.25">
      <c r="A31" s="54"/>
      <c r="B31" s="81" t="s">
        <v>44</v>
      </c>
      <c r="C31" s="101">
        <v>10</v>
      </c>
      <c r="D31" s="102">
        <v>16212</v>
      </c>
      <c r="E31" s="96"/>
      <c r="F31" s="103">
        <f>'2022-2023'!G66</f>
        <v>175.32</v>
      </c>
      <c r="G31" s="103">
        <v>175.32</v>
      </c>
      <c r="H31" s="125">
        <f t="shared" ref="H31:H36" si="5">G31*107.47/100</f>
        <v>188.416404</v>
      </c>
    </row>
    <row r="32" spans="1:8" ht="13.5" thickBot="1" x14ac:dyDescent="0.25">
      <c r="A32" s="54"/>
      <c r="B32" s="85" t="s">
        <v>45</v>
      </c>
      <c r="C32" s="44">
        <v>11</v>
      </c>
      <c r="D32" s="104">
        <v>95496</v>
      </c>
      <c r="E32" s="46"/>
      <c r="F32" s="47">
        <f>'2022-2023'!G67</f>
        <v>175.32</v>
      </c>
      <c r="G32" s="47">
        <v>175.32</v>
      </c>
      <c r="H32" s="125">
        <f t="shared" si="5"/>
        <v>188.416404</v>
      </c>
    </row>
    <row r="33" spans="1:8" ht="13.5" thickBot="1" x14ac:dyDescent="0.25">
      <c r="A33" s="54"/>
      <c r="B33" s="105" t="s">
        <v>118</v>
      </c>
      <c r="C33" s="106">
        <f>'2022-2023'!D15</f>
        <v>10</v>
      </c>
      <c r="D33" s="107"/>
      <c r="E33" s="108"/>
      <c r="F33" s="109">
        <f>'2022-2023'!G15</f>
        <v>230.75991439796368</v>
      </c>
      <c r="G33" s="109">
        <v>230.76</v>
      </c>
      <c r="H33" s="125">
        <f t="shared" si="5"/>
        <v>247.997772</v>
      </c>
    </row>
    <row r="34" spans="1:8" ht="13.5" thickBot="1" x14ac:dyDescent="0.25">
      <c r="A34" s="54"/>
      <c r="B34" s="105" t="s">
        <v>119</v>
      </c>
      <c r="C34" s="106">
        <f>'2022-2023'!D16</f>
        <v>8</v>
      </c>
      <c r="D34" s="107"/>
      <c r="E34" s="108"/>
      <c r="F34" s="109">
        <f>'2022-2023'!G16</f>
        <v>461.64456388479107</v>
      </c>
      <c r="G34" s="109">
        <v>461.65</v>
      </c>
      <c r="H34" s="125">
        <f t="shared" si="5"/>
        <v>496.13525499999997</v>
      </c>
    </row>
    <row r="35" spans="1:8" ht="13.5" thickBot="1" x14ac:dyDescent="0.25">
      <c r="A35" s="54"/>
      <c r="B35" s="105" t="s">
        <v>120</v>
      </c>
      <c r="C35" s="106">
        <f>'2022-2023'!D17</f>
        <v>0</v>
      </c>
      <c r="D35" s="107"/>
      <c r="E35" s="108"/>
      <c r="F35" s="109">
        <f>'2022-2023'!G17</f>
        <v>761.71353040990539</v>
      </c>
      <c r="G35" s="109">
        <v>761.71</v>
      </c>
      <c r="H35" s="125">
        <f t="shared" si="5"/>
        <v>818.609737</v>
      </c>
    </row>
    <row r="36" spans="1:8" ht="13.5" thickBot="1" x14ac:dyDescent="0.25">
      <c r="A36" s="54"/>
      <c r="B36" s="105" t="s">
        <v>121</v>
      </c>
      <c r="C36" s="50">
        <v>0</v>
      </c>
      <c r="D36" s="86"/>
      <c r="E36" s="87"/>
      <c r="F36" s="53"/>
      <c r="G36" s="53">
        <v>1066.4000000000001</v>
      </c>
      <c r="H36" s="125">
        <f t="shared" si="5"/>
        <v>1146.06008</v>
      </c>
    </row>
    <row r="37" spans="1:8" ht="13.5" thickBot="1" x14ac:dyDescent="0.25">
      <c r="A37" s="54"/>
      <c r="B37" s="70"/>
      <c r="C37" s="61"/>
      <c r="D37" s="62"/>
      <c r="E37" s="73"/>
      <c r="F37" s="64"/>
      <c r="G37" s="64"/>
      <c r="H37" s="130"/>
    </row>
    <row r="38" spans="1:8" ht="13.5" thickBot="1" x14ac:dyDescent="0.25">
      <c r="A38" s="54"/>
      <c r="B38" s="338" t="s">
        <v>43</v>
      </c>
      <c r="C38" s="339"/>
      <c r="D38" s="339"/>
      <c r="E38" s="339"/>
      <c r="F38" s="340"/>
      <c r="G38" s="130"/>
      <c r="H38" s="130"/>
    </row>
    <row r="39" spans="1:8" ht="13.5" thickBot="1" x14ac:dyDescent="0.25">
      <c r="A39" s="54"/>
      <c r="B39" s="85" t="s">
        <v>50</v>
      </c>
      <c r="C39" s="82">
        <v>58</v>
      </c>
      <c r="D39" s="83">
        <f>61399*12</f>
        <v>736788</v>
      </c>
      <c r="E39" s="110"/>
      <c r="F39" s="99">
        <f>'2022-2023'!G70</f>
        <v>169</v>
      </c>
      <c r="G39" s="99">
        <v>169</v>
      </c>
      <c r="H39" s="136">
        <f>G39*107.47/100</f>
        <v>181.62430000000001</v>
      </c>
    </row>
    <row r="40" spans="1:8" ht="13.5" thickBot="1" x14ac:dyDescent="0.25">
      <c r="A40" s="54"/>
      <c r="B40" s="60"/>
      <c r="C40" s="61"/>
      <c r="D40" s="62"/>
      <c r="E40" s="74"/>
      <c r="F40" s="64"/>
      <c r="G40" s="64"/>
      <c r="H40" s="130"/>
    </row>
    <row r="41" spans="1:8" ht="13.5" thickBot="1" x14ac:dyDescent="0.25">
      <c r="A41" s="54"/>
      <c r="B41" s="338" t="s">
        <v>36</v>
      </c>
      <c r="C41" s="339"/>
      <c r="D41" s="339"/>
      <c r="E41" s="339"/>
      <c r="F41" s="340"/>
      <c r="G41" s="130"/>
      <c r="H41" s="130"/>
    </row>
    <row r="42" spans="1:8" ht="13.5" thickBot="1" x14ac:dyDescent="0.25">
      <c r="A42" s="54"/>
      <c r="B42" s="100" t="s">
        <v>44</v>
      </c>
      <c r="C42" s="101">
        <v>89</v>
      </c>
      <c r="D42" s="102">
        <f>51875*12</f>
        <v>622500</v>
      </c>
      <c r="E42" s="96"/>
      <c r="F42" s="103">
        <f>'2022-2023'!G72</f>
        <v>250.95</v>
      </c>
      <c r="G42" s="103">
        <v>250.95</v>
      </c>
      <c r="H42" s="125">
        <f t="shared" ref="H42:H43" si="6">G42*107.47/100</f>
        <v>269.695965</v>
      </c>
    </row>
    <row r="43" spans="1:8" ht="13.5" thickBot="1" x14ac:dyDescent="0.25">
      <c r="A43" s="54"/>
      <c r="B43" s="49" t="s">
        <v>45</v>
      </c>
      <c r="C43" s="50">
        <v>20</v>
      </c>
      <c r="D43" s="86">
        <f>307141*12</f>
        <v>3685692</v>
      </c>
      <c r="E43" s="87"/>
      <c r="F43" s="53">
        <f>'2022-2023'!G73</f>
        <v>253.24</v>
      </c>
      <c r="G43" s="53">
        <v>253.24</v>
      </c>
      <c r="H43" s="125">
        <f t="shared" si="6"/>
        <v>272.15702799999997</v>
      </c>
    </row>
    <row r="44" spans="1:8" ht="13.5" thickBot="1" x14ac:dyDescent="0.25">
      <c r="A44" s="54"/>
      <c r="B44" s="70"/>
      <c r="C44" s="61"/>
      <c r="D44" s="62"/>
      <c r="E44" s="73"/>
      <c r="F44" s="64"/>
      <c r="G44" s="64"/>
      <c r="H44" s="130"/>
    </row>
    <row r="45" spans="1:8" ht="13.5" thickBot="1" x14ac:dyDescent="0.25">
      <c r="A45" s="54"/>
      <c r="B45" s="338" t="s">
        <v>91</v>
      </c>
      <c r="C45" s="339"/>
      <c r="D45" s="339"/>
      <c r="E45" s="339"/>
      <c r="F45" s="340"/>
      <c r="G45" s="130"/>
      <c r="H45" s="130"/>
    </row>
    <row r="46" spans="1:8" ht="13.5" thickBot="1" x14ac:dyDescent="0.25">
      <c r="A46" s="54"/>
      <c r="B46" s="85" t="s">
        <v>50</v>
      </c>
      <c r="C46" s="97">
        <v>49</v>
      </c>
      <c r="D46" s="98">
        <f>51875*12</f>
        <v>622500</v>
      </c>
      <c r="E46" s="84"/>
      <c r="F46" s="99">
        <f>'2022-2023'!G76</f>
        <v>193.66</v>
      </c>
      <c r="G46" s="99">
        <v>193.66</v>
      </c>
      <c r="H46" s="125">
        <f t="shared" ref="H46:H47" si="7">G46*107.47/100</f>
        <v>208.12640199999998</v>
      </c>
    </row>
    <row r="47" spans="1:8" ht="13.5" thickBot="1" x14ac:dyDescent="0.25">
      <c r="A47" s="54"/>
      <c r="B47" s="88" t="s">
        <v>118</v>
      </c>
      <c r="C47" s="97">
        <v>49</v>
      </c>
      <c r="D47" s="98"/>
      <c r="E47" s="84"/>
      <c r="F47" s="99">
        <f>'2022-2023'!G25</f>
        <v>1110.2394365953385</v>
      </c>
      <c r="G47" s="99">
        <v>1110.24</v>
      </c>
      <c r="H47" s="125">
        <f t="shared" si="7"/>
        <v>1193.1749279999999</v>
      </c>
    </row>
    <row r="48" spans="1:8" ht="13.5" thickBot="1" x14ac:dyDescent="0.25">
      <c r="A48" s="54"/>
      <c r="B48" s="70"/>
      <c r="C48" s="71"/>
      <c r="D48" s="72"/>
      <c r="E48" s="73"/>
      <c r="F48" s="64"/>
      <c r="G48" s="64"/>
      <c r="H48" s="130"/>
    </row>
    <row r="49" spans="1:8" ht="13.5" thickBot="1" x14ac:dyDescent="0.25">
      <c r="A49" s="54"/>
      <c r="B49" s="341" t="s">
        <v>57</v>
      </c>
      <c r="C49" s="342"/>
      <c r="D49" s="342"/>
      <c r="E49" s="342"/>
      <c r="F49" s="343"/>
      <c r="G49" s="131"/>
      <c r="H49" s="131"/>
    </row>
    <row r="50" spans="1:8" ht="13.5" thickBot="1" x14ac:dyDescent="0.25">
      <c r="A50" s="54"/>
      <c r="B50" s="85" t="s">
        <v>50</v>
      </c>
      <c r="C50" s="112">
        <v>112</v>
      </c>
      <c r="D50" s="112">
        <v>3685692</v>
      </c>
      <c r="E50" s="112"/>
      <c r="F50" s="134">
        <f>'2022-2023'!G79</f>
        <v>193.66</v>
      </c>
      <c r="G50" s="134">
        <v>193.66</v>
      </c>
      <c r="H50" s="129">
        <f t="shared" ref="H50:H53" si="8">G50*107.47/100</f>
        <v>208.12640199999998</v>
      </c>
    </row>
    <row r="51" spans="1:8" ht="13.5" thickBot="1" x14ac:dyDescent="0.25">
      <c r="A51" s="54"/>
      <c r="B51" s="88" t="s">
        <v>122</v>
      </c>
      <c r="C51" s="89"/>
      <c r="D51" s="90"/>
      <c r="E51" s="87"/>
      <c r="F51" s="128">
        <f>'2022-2023'!G26</f>
        <v>1543.5361073874001</v>
      </c>
      <c r="G51" s="128">
        <v>1543.54</v>
      </c>
      <c r="H51" s="129">
        <f t="shared" si="8"/>
        <v>1658.8424379999999</v>
      </c>
    </row>
    <row r="52" spans="1:8" ht="13.5" thickBot="1" x14ac:dyDescent="0.25">
      <c r="A52" s="54"/>
      <c r="B52" s="88" t="s">
        <v>119</v>
      </c>
      <c r="C52" s="89"/>
      <c r="D52" s="90"/>
      <c r="E52" s="87"/>
      <c r="F52" s="128">
        <f>'2022-2023'!G27</f>
        <v>1869.6604837334039</v>
      </c>
      <c r="G52" s="128">
        <v>1869.66</v>
      </c>
      <c r="H52" s="129">
        <f t="shared" si="8"/>
        <v>2009.3236019999999</v>
      </c>
    </row>
    <row r="53" spans="1:8" ht="13.5" thickBot="1" x14ac:dyDescent="0.25">
      <c r="A53" s="54"/>
      <c r="B53" s="88" t="s">
        <v>120</v>
      </c>
      <c r="C53" s="89"/>
      <c r="D53" s="90"/>
      <c r="E53" s="87"/>
      <c r="F53" s="128">
        <f>'2022-2023'!G28</f>
        <v>3171.0816318944003</v>
      </c>
      <c r="G53" s="128">
        <v>3171.08</v>
      </c>
      <c r="H53" s="129">
        <f t="shared" si="8"/>
        <v>3407.9596759999999</v>
      </c>
    </row>
    <row r="54" spans="1:8" ht="13.5" thickBot="1" x14ac:dyDescent="0.25">
      <c r="A54" s="54"/>
      <c r="B54" s="88"/>
      <c r="C54" s="89"/>
      <c r="D54" s="90"/>
      <c r="E54" s="87"/>
      <c r="F54" s="53"/>
      <c r="G54" s="53"/>
      <c r="H54" s="132"/>
    </row>
    <row r="55" spans="1:8" ht="13.5" thickBot="1" x14ac:dyDescent="0.25">
      <c r="A55" s="54"/>
      <c r="B55" s="70"/>
      <c r="C55" s="71"/>
      <c r="D55" s="72"/>
      <c r="E55" s="73"/>
      <c r="F55" s="64"/>
      <c r="G55" s="64"/>
      <c r="H55" s="130"/>
    </row>
    <row r="56" spans="1:8" ht="13.5" thickBot="1" x14ac:dyDescent="0.25">
      <c r="A56" s="54"/>
      <c r="B56" s="338" t="s">
        <v>33</v>
      </c>
      <c r="C56" s="339"/>
      <c r="D56" s="339"/>
      <c r="E56" s="339"/>
      <c r="F56" s="340"/>
      <c r="G56" s="130"/>
      <c r="H56" s="130"/>
    </row>
    <row r="57" spans="1:8" ht="13.5" thickBot="1" x14ac:dyDescent="0.25">
      <c r="A57" s="54"/>
      <c r="B57" s="85" t="s">
        <v>50</v>
      </c>
      <c r="C57" s="94">
        <v>31</v>
      </c>
      <c r="D57" s="95">
        <v>696398</v>
      </c>
      <c r="E57" s="96"/>
      <c r="F57" s="133">
        <f>'2022-2023'!G85</f>
        <v>137.51</v>
      </c>
      <c r="G57" s="133">
        <v>137.51</v>
      </c>
      <c r="H57" s="125">
        <f t="shared" ref="H57:H60" si="9">G57*107.47/100</f>
        <v>147.78199699999999</v>
      </c>
    </row>
    <row r="58" spans="1:8" ht="13.5" thickBot="1" x14ac:dyDescent="0.25">
      <c r="A58" s="54"/>
      <c r="B58" s="88" t="s">
        <v>123</v>
      </c>
      <c r="C58" s="89"/>
      <c r="D58" s="90"/>
      <c r="E58" s="87"/>
      <c r="F58" s="128">
        <f>'2022-2023'!G29</f>
        <v>6030.9415465629972</v>
      </c>
      <c r="G58" s="128">
        <v>6030.94</v>
      </c>
      <c r="H58" s="125">
        <f t="shared" si="9"/>
        <v>6481.4512179999992</v>
      </c>
    </row>
    <row r="59" spans="1:8" ht="13.5" thickBot="1" x14ac:dyDescent="0.25">
      <c r="A59" s="54"/>
      <c r="B59" s="88" t="s">
        <v>124</v>
      </c>
      <c r="C59" s="89"/>
      <c r="D59" s="90"/>
      <c r="E59" s="87"/>
      <c r="F59" s="128">
        <f>'2022-2023'!I101</f>
        <v>208.31098952996797</v>
      </c>
      <c r="G59" s="128">
        <v>208.31</v>
      </c>
      <c r="H59" s="125">
        <f t="shared" si="9"/>
        <v>223.87075700000003</v>
      </c>
    </row>
    <row r="60" spans="1:8" ht="13.5" thickBot="1" x14ac:dyDescent="0.25">
      <c r="A60" s="54"/>
      <c r="B60" s="88" t="s">
        <v>125</v>
      </c>
      <c r="C60" s="89"/>
      <c r="D60" s="90"/>
      <c r="E60" s="87"/>
      <c r="F60" s="128">
        <f>'2022-2023'!I102</f>
        <v>208.79</v>
      </c>
      <c r="G60" s="128">
        <v>208.79</v>
      </c>
      <c r="H60" s="125">
        <f t="shared" si="9"/>
        <v>224.38661300000001</v>
      </c>
    </row>
    <row r="61" spans="1:8" ht="13.5" thickBot="1" x14ac:dyDescent="0.25">
      <c r="A61" s="54"/>
      <c r="B61" s="65"/>
      <c r="C61" s="66"/>
      <c r="D61" s="67"/>
      <c r="E61" s="68"/>
      <c r="F61" s="69"/>
      <c r="G61" s="69"/>
      <c r="H61" s="130"/>
    </row>
    <row r="62" spans="1:8" ht="13.5" thickBot="1" x14ac:dyDescent="0.25">
      <c r="A62" s="54"/>
      <c r="B62" s="344" t="s">
        <v>11</v>
      </c>
      <c r="C62" s="345"/>
      <c r="D62" s="345"/>
      <c r="E62" s="345"/>
      <c r="F62" s="346"/>
      <c r="G62" s="54"/>
      <c r="H62" s="54"/>
    </row>
    <row r="63" spans="1:8" ht="13.5" thickBot="1" x14ac:dyDescent="0.25">
      <c r="A63" s="54"/>
      <c r="B63" s="85" t="s">
        <v>50</v>
      </c>
      <c r="C63" s="44">
        <v>0</v>
      </c>
      <c r="D63" s="45"/>
      <c r="E63" s="45"/>
      <c r="F63" s="47">
        <f>'2022-2023'!$G$88</f>
        <v>169.59</v>
      </c>
      <c r="G63" s="47">
        <v>169.59</v>
      </c>
      <c r="H63" s="125">
        <f t="shared" ref="H63:H66" si="10">G63*107.47/100</f>
        <v>182.25837300000001</v>
      </c>
    </row>
    <row r="64" spans="1:8" ht="13.5" thickBot="1" x14ac:dyDescent="0.25">
      <c r="A64" s="54"/>
      <c r="B64" s="85" t="s">
        <v>118</v>
      </c>
      <c r="C64" s="91"/>
      <c r="D64" s="92"/>
      <c r="E64" s="46"/>
      <c r="F64" s="47">
        <f>'2022-2023'!G39</f>
        <v>1112.67</v>
      </c>
      <c r="G64" s="47">
        <v>1112.67</v>
      </c>
      <c r="H64" s="125">
        <f t="shared" si="10"/>
        <v>1195.7864489999999</v>
      </c>
    </row>
    <row r="65" spans="1:8" ht="13.5" thickBot="1" x14ac:dyDescent="0.25">
      <c r="A65" s="54"/>
      <c r="B65" s="85" t="s">
        <v>119</v>
      </c>
      <c r="C65" s="91"/>
      <c r="D65" s="92"/>
      <c r="E65" s="46"/>
      <c r="F65" s="47">
        <f>'2022-2023'!G40</f>
        <v>1698.11</v>
      </c>
      <c r="G65" s="47">
        <v>1698.11</v>
      </c>
      <c r="H65" s="125">
        <f t="shared" si="10"/>
        <v>1824.958817</v>
      </c>
    </row>
    <row r="66" spans="1:8" ht="13.5" thickBot="1" x14ac:dyDescent="0.25">
      <c r="A66" s="54"/>
      <c r="B66" s="88" t="s">
        <v>120</v>
      </c>
      <c r="C66" s="89"/>
      <c r="D66" s="93"/>
      <c r="E66" s="87"/>
      <c r="F66" s="53">
        <f>'2022-2023'!G41</f>
        <v>3145.58</v>
      </c>
      <c r="G66" s="53">
        <v>3145.58</v>
      </c>
      <c r="H66" s="125">
        <f t="shared" si="10"/>
        <v>3380.554826</v>
      </c>
    </row>
    <row r="67" spans="1:8" ht="13.5" thickBot="1" x14ac:dyDescent="0.25">
      <c r="A67" s="54"/>
      <c r="B67" s="80"/>
      <c r="C67" s="56"/>
      <c r="D67" s="57"/>
      <c r="E67" s="58"/>
      <c r="F67" s="59"/>
      <c r="G67" s="59"/>
      <c r="H67" s="130"/>
    </row>
    <row r="68" spans="1:8" ht="13.5" thickBot="1" x14ac:dyDescent="0.25">
      <c r="A68" s="54"/>
      <c r="B68" s="338" t="s">
        <v>13</v>
      </c>
      <c r="C68" s="339"/>
      <c r="D68" s="339"/>
      <c r="E68" s="339"/>
      <c r="F68" s="340"/>
      <c r="G68" s="54"/>
      <c r="H68" s="54"/>
    </row>
    <row r="69" spans="1:8" ht="13.5" thickBot="1" x14ac:dyDescent="0.25">
      <c r="A69" s="54"/>
      <c r="B69" s="81" t="s">
        <v>50</v>
      </c>
      <c r="C69" s="82">
        <v>3</v>
      </c>
      <c r="D69" s="83">
        <v>404096</v>
      </c>
      <c r="E69" s="84"/>
      <c r="F69" s="134">
        <f>'2022-2023'!$G$91</f>
        <v>132.91999999999999</v>
      </c>
      <c r="G69" s="134">
        <v>132.91999999999999</v>
      </c>
      <c r="H69" s="129">
        <f t="shared" ref="H69:H71" si="11">G69*107.47/100</f>
        <v>142.84912399999999</v>
      </c>
    </row>
    <row r="70" spans="1:8" ht="13.5" thickBot="1" x14ac:dyDescent="0.25">
      <c r="A70" s="54"/>
      <c r="B70" s="85" t="s">
        <v>126</v>
      </c>
      <c r="C70" s="50"/>
      <c r="D70" s="86"/>
      <c r="E70" s="87"/>
      <c r="F70" s="128">
        <f>'2022-2023'!I103</f>
        <v>180.85869776371885</v>
      </c>
      <c r="G70" s="128">
        <v>180.86</v>
      </c>
      <c r="H70" s="129">
        <f t="shared" si="11"/>
        <v>194.37024199999999</v>
      </c>
    </row>
    <row r="71" spans="1:8" ht="13.5" thickBot="1" x14ac:dyDescent="0.25">
      <c r="A71" s="54"/>
      <c r="B71" s="88" t="s">
        <v>123</v>
      </c>
      <c r="C71" s="89"/>
      <c r="D71" s="90"/>
      <c r="E71" s="87"/>
      <c r="F71" s="128">
        <f>'2022-2023'!G42</f>
        <v>6030.9415465629972</v>
      </c>
      <c r="G71" s="128">
        <v>6030.94</v>
      </c>
      <c r="H71" s="129">
        <f t="shared" si="11"/>
        <v>6481.4512179999992</v>
      </c>
    </row>
    <row r="72" spans="1:8" x14ac:dyDescent="0.2">
      <c r="A72" s="54"/>
      <c r="B72" s="113"/>
      <c r="C72" s="114"/>
      <c r="D72" s="115"/>
      <c r="E72" s="116"/>
      <c r="F72" s="117"/>
      <c r="G72" s="117"/>
      <c r="H72" s="54"/>
    </row>
    <row r="73" spans="1:8" ht="13.5" thickBot="1" x14ac:dyDescent="0.25">
      <c r="A73" s="54"/>
      <c r="B73" s="113"/>
      <c r="C73" s="114"/>
      <c r="D73" s="115"/>
      <c r="E73" s="116"/>
      <c r="F73" s="117"/>
      <c r="G73" s="117"/>
      <c r="H73" s="54"/>
    </row>
    <row r="74" spans="1:8" ht="13.5" thickBot="1" x14ac:dyDescent="0.25">
      <c r="A74" s="54"/>
      <c r="B74" s="338" t="s">
        <v>87</v>
      </c>
      <c r="C74" s="339"/>
      <c r="D74" s="339"/>
      <c r="E74" s="339"/>
      <c r="F74" s="340"/>
      <c r="G74" s="54"/>
      <c r="H74" s="54"/>
    </row>
    <row r="75" spans="1:8" ht="13.5" thickBot="1" x14ac:dyDescent="0.25">
      <c r="A75" s="54"/>
      <c r="B75" s="338" t="s">
        <v>93</v>
      </c>
      <c r="C75" s="339"/>
      <c r="D75" s="339"/>
      <c r="E75" s="339"/>
      <c r="F75" s="340"/>
      <c r="G75" s="54"/>
      <c r="H75" s="54"/>
    </row>
    <row r="76" spans="1:8" ht="26.25" thickBot="1" x14ac:dyDescent="0.25">
      <c r="A76" s="54"/>
      <c r="B76" s="120"/>
      <c r="C76" s="120"/>
      <c r="D76" s="122"/>
      <c r="E76" s="122"/>
      <c r="F76" s="121" t="s">
        <v>96</v>
      </c>
      <c r="G76" s="121" t="s">
        <v>105</v>
      </c>
      <c r="H76" s="135" t="s">
        <v>110</v>
      </c>
    </row>
    <row r="77" spans="1:8" ht="13.5" thickBot="1" x14ac:dyDescent="0.25">
      <c r="A77" s="54"/>
      <c r="B77" s="81" t="s">
        <v>50</v>
      </c>
      <c r="C77" s="123">
        <v>0</v>
      </c>
      <c r="D77" s="124">
        <v>0</v>
      </c>
      <c r="E77" s="119"/>
      <c r="F77" s="53">
        <f>'2022-2023'!J97</f>
        <v>99.69</v>
      </c>
      <c r="G77" s="53">
        <v>99.69</v>
      </c>
      <c r="H77" s="136">
        <f>G77*107.47/100</f>
        <v>107.13684299999998</v>
      </c>
    </row>
    <row r="78" spans="1:8" x14ac:dyDescent="0.2">
      <c r="A78" s="54"/>
      <c r="B78" s="54"/>
      <c r="C78" s="118"/>
      <c r="D78" s="118"/>
      <c r="E78" s="118"/>
      <c r="F78" s="117"/>
      <c r="G78" s="117"/>
      <c r="H78" s="54"/>
    </row>
    <row r="79" spans="1:8" x14ac:dyDescent="0.2">
      <c r="A79" s="54"/>
      <c r="B79" s="54"/>
      <c r="C79" s="54"/>
      <c r="D79" s="54"/>
      <c r="E79" s="54"/>
      <c r="F79" s="54"/>
      <c r="G79" s="54"/>
      <c r="H79" s="54"/>
    </row>
  </sheetData>
  <mergeCells count="14">
    <mergeCell ref="B74:F74"/>
    <mergeCell ref="B75:F75"/>
    <mergeCell ref="B38:F38"/>
    <mergeCell ref="B30:F30"/>
    <mergeCell ref="B24:F24"/>
    <mergeCell ref="B56:F56"/>
    <mergeCell ref="B62:F62"/>
    <mergeCell ref="B68:F68"/>
    <mergeCell ref="B18:F18"/>
    <mergeCell ref="B4:F4"/>
    <mergeCell ref="B11:F11"/>
    <mergeCell ref="B49:F49"/>
    <mergeCell ref="B45:F45"/>
    <mergeCell ref="B41:F41"/>
  </mergeCells>
  <pageMargins left="0.7" right="0.7" top="0.75" bottom="0.75" header="0.3" footer="0.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2022-2023</vt:lpstr>
      <vt:lpstr>Application</vt:lpstr>
      <vt:lpstr>Application!Print_Area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</dc:creator>
  <cp:lastModifiedBy>Phumzile Legwabe</cp:lastModifiedBy>
  <cp:lastPrinted>2022-05-27T09:48:27Z</cp:lastPrinted>
  <dcterms:created xsi:type="dcterms:W3CDTF">2009-07-02T09:06:42Z</dcterms:created>
  <dcterms:modified xsi:type="dcterms:W3CDTF">2022-06-03T05:51:39Z</dcterms:modified>
</cp:coreProperties>
</file>